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drawings/drawing8.xml" ContentType="application/vnd.openxmlformats-officedocument.drawingml.chartshapes+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_Public\01 ADVANCE PLANNING\__General Plan\2030 General Plan\2020 GP-Zoning Reconciliation\Objective Standards for Multi-Family\Community Outreach\Website Content\"/>
    </mc:Choice>
  </mc:AlternateContent>
  <bookViews>
    <workbookView xWindow="0" yWindow="0" windowWidth="28800" windowHeight="11835" tabRatio="939"/>
  </bookViews>
  <sheets>
    <sheet name="Intro" sheetId="58" r:id="rId1"/>
    <sheet name="Tool" sheetId="46" r:id="rId2"/>
    <sheet name="Key Inputs" sheetId="55" r:id="rId3"/>
    <sheet name="Bonus FAR" sheetId="14" state="veryHidden" r:id="rId4"/>
    <sheet name="Notes" sheetId="13" state="veryHidden" r:id="rId5"/>
    <sheet name="2. Dropdowns" sheetId="47" state="veryHidden" r:id="rId6"/>
    <sheet name="3. Prototypes" sheetId="53" state="veryHidden" r:id="rId7"/>
    <sheet name="4. Pro Forma" sheetId="49" state="veryHidden" r:id="rId8"/>
    <sheet name="5. Parking" sheetId="52" state="veryHidden" r:id="rId9"/>
    <sheet name="6. Cost Assumptions" sheetId="3" state="veryHidden" r:id="rId10"/>
    <sheet name="7. Revenue Assumptions" sheetId="32" state="veryHidden" r:id="rId11"/>
    <sheet name="8. Affordable Rents" sheetId="38" state="veryHidden" r:id="rId12"/>
    <sheet name="Old&gt;&gt;&gt;&gt;&gt;" sheetId="54" state="veryHidden" r:id="rId13"/>
    <sheet name="Pro Forma" sheetId="4" state="veryHidden" r:id="rId14"/>
    <sheet name="Pro Forma UG Parking" sheetId="43" state="veryHidden" r:id="rId15"/>
    <sheet name="Test Fits for Pro Forma" sheetId="39" state="veryHidden" r:id="rId16"/>
    <sheet name="land sales" sheetId="37" state="veryHidden" r:id="rId17"/>
    <sheet name="Redfin land sales" sheetId="44" state="veryHidden" r:id="rId18"/>
    <sheet name="Kristen Hall Test Fits--&gt;" sheetId="41" state="veryHidden" r:id="rId19"/>
    <sheet name="RL ZONE" sheetId="45" state="veryHidden" r:id="rId20"/>
    <sheet name="Test Fit Large Site Summary" sheetId="1" state="veryHidden" r:id="rId21"/>
    <sheet name="MXDH-Large Test Fit" sheetId="36" state="veryHidden" r:id="rId22"/>
    <sheet name="Affordable Housing (not used)" sheetId="9" state="veryHidden" r:id="rId23"/>
    <sheet name="Small Site Test Fits" sheetId="40" state="veryHidden"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xlnm._FilterDatabase" localSheetId="17" hidden="1">'Redfin land sales'!$A$1:$AA$1</definedName>
    <definedName name="AffordOffSitePct" localSheetId="11">[1]AHAssumptions!$E$7</definedName>
    <definedName name="AffordOffSitePct">[2]AHAssumptions!$E$7</definedName>
    <definedName name="AffordOnSitePct" localSheetId="11">[1]AHAssumptions!$E$6</definedName>
    <definedName name="AffordOnSitePct">[2]AHAssumptions!$E$6</definedName>
    <definedName name="AHROffSiteRentBonusPct" localSheetId="11">[1]AHAssumptions!$E$32</definedName>
    <definedName name="AHROffSiteRentBonusPct">[3]AHAssumptions!$E$47</definedName>
    <definedName name="AHROffSiteRentPct" localSheetId="11">[1]AHAssumptions!$D$32</definedName>
    <definedName name="AHROffSiteRentPct">[3]AHAssumptions!$D$47</definedName>
    <definedName name="AHROffSiteSaleBonusPct" localSheetId="11">[1]AHAssumptions!$F$7</definedName>
    <definedName name="AHROffSiteSaleBonusPct">[3]AHAssumptions!$F$22</definedName>
    <definedName name="AHROffSiteSalePct" localSheetId="11">[1]AHAssumptions!$E$7</definedName>
    <definedName name="AHROffSiteSalePct">[3]AHAssumptions!$E$22</definedName>
    <definedName name="AHROnSiteRentBonusPct" localSheetId="11">[1]AHAssumptions!$E$31</definedName>
    <definedName name="AHROnSiteRentBonusPct">[3]AHAssumptions!$E$46</definedName>
    <definedName name="AHROnSiteRentPct" localSheetId="11">[1]AHAssumptions!$D$31</definedName>
    <definedName name="AHROnSiteRentPct">[3]AHAssumptions!$D$46</definedName>
    <definedName name="AHROnSiteSaleBonusPct" localSheetId="11">[1]AHAssumptions!$F$6</definedName>
    <definedName name="AHROnSiteSaleBonusPct">[3]AHAssumptions!$F$21</definedName>
    <definedName name="AHROnSiteSalePct" localSheetId="11">[1]AHAssumptions!$E$6</definedName>
    <definedName name="AHROnSiteSalePct">[3]AHAssumptions!$E$21</definedName>
    <definedName name="alled">#REF!</definedName>
    <definedName name="allstem">#REF!</definedName>
    <definedName name="annual_absorption" localSheetId="11">[4]Results!$D$8</definedName>
    <definedName name="annual_absorption">[5]Results!$D$8</definedName>
    <definedName name="BuildingEfficiency" localSheetId="11">'[6]1.Assump - Dev Program'!$B$36</definedName>
    <definedName name="BuildingEfficiency">'[7]1.Assump - Dev Program'!$B$36</definedName>
    <definedName name="ContingencyPct" localSheetId="11">[1]Costs!$D$47</definedName>
    <definedName name="ContingencyPct">[3]Costs!$C$56</definedName>
    <definedName name="_xlnm.Database" localSheetId="11">[8]SB_PSTYR!$M$1:$DB$528</definedName>
    <definedName name="_xlnm.Database">[9]SB_PSTYR!$M$1:$DB$528</definedName>
    <definedName name="DeveloperFeePct" localSheetId="11">[1]Costs!$D$52</definedName>
    <definedName name="DeveloperFeePct">[3]Costs!$C$72</definedName>
    <definedName name="Down_Payment">'[10]3.LendingAssump'!$B$4</definedName>
    <definedName name="fee_per_bonus_sf" localSheetId="11">[4]Results!$C$34</definedName>
    <definedName name="fee_per_bonus_sf">[5]Results!$C$34</definedName>
    <definedName name="fee_per_sf" localSheetId="11">[4]Results!#REF!</definedName>
    <definedName name="fee_per_sf">[5]Results!#REF!</definedName>
    <definedName name="fee_per_sf1c" localSheetId="11">[4]Results!#REF!</definedName>
    <definedName name="fee_per_sf1c">[5]Results!#REF!</definedName>
    <definedName name="fee_per_sf2" localSheetId="11">[4]Results!#REF!</definedName>
    <definedName name="fee_per_sf2">[5]Results!#REF!</definedName>
    <definedName name="Hazard_Insurance_Rate">'[10]3.LendingAssump'!$B$13</definedName>
    <definedName name="HOA_Dues">'[10]3.LendingAssump'!$B$9</definedName>
    <definedName name="inflation" localSheetId="11">[4]Results!$C$18</definedName>
    <definedName name="inflation">[5]Results!$C$18</definedName>
    <definedName name="InlieuFeeBonusPSF" localSheetId="11">[1]AHAssumptions!$D$42</definedName>
    <definedName name="InlieuFeeBonusPSF">[3]AHAssumptions!$D$57</definedName>
    <definedName name="InlieuFeePSF" localSheetId="11">[1]AHAssumptions!$C$42</definedName>
    <definedName name="InlieuFeePSF">[3]AHAssumptions!$C$57</definedName>
    <definedName name="Interest_Rate">'[10]3.LendingAssump'!$B$6</definedName>
    <definedName name="Loan_Term_Yrs">'[10]3.LendingAssump'!$B$7</definedName>
    <definedName name="LTV">'[10]3.LendingAssump'!$B$5</definedName>
    <definedName name="Max_LowIncOwner_Cost">'[10]1.IncomeAssump'!$B$41</definedName>
    <definedName name="Max_ModIncOwner_Cost">'[10]1.IncomeAssump'!$B$42</definedName>
    <definedName name="Max_Rent">'[10]1.IncomeAssump'!$B$40</definedName>
    <definedName name="oesdata">#REF!</definedName>
    <definedName name="ParkingSpaceSqFt" localSheetId="11">'[6]1.Assump - Dev Program'!$B$35</definedName>
    <definedName name="ParkingSpaceSqFt">'[7]1.Assump - Dev Program'!$B$35</definedName>
    <definedName name="PMI_Rate" comment="Annual">'[10]3.LendingAssump'!$B$12</definedName>
    <definedName name="_xlnm.Print_Area" localSheetId="7">'4. Pro Forma'!$A$1:$E$65</definedName>
    <definedName name="_xlnm.Print_Area" localSheetId="13">'Pro Forma'!$A$1:$E$61</definedName>
    <definedName name="_xlnm.Print_Area" localSheetId="14">'Pro Forma UG Parking'!$A$1:$D$61</definedName>
    <definedName name="_xlnm.Print_Area">#REF!</definedName>
    <definedName name="Property_Tax_Rate">'[10]3.LendingAssump'!$B$11</definedName>
    <definedName name="solver_adj" localSheetId="7" hidden="1">'4. Pro Forma'!#REF!</definedName>
    <definedName name="solver_adj" localSheetId="13" hidden="1">'Pro Forma'!#REF!</definedName>
    <definedName name="solver_adj" localSheetId="14" hidden="1">'Pro Forma UG Parking'!#REF!</definedName>
    <definedName name="solver_cvg" localSheetId="7" hidden="1">0.0001</definedName>
    <definedName name="solver_cvg" localSheetId="13" hidden="1">0.0001</definedName>
    <definedName name="solver_cvg" localSheetId="14" hidden="1">0.0001</definedName>
    <definedName name="solver_drv" localSheetId="7" hidden="1">1</definedName>
    <definedName name="solver_drv" localSheetId="13" hidden="1">1</definedName>
    <definedName name="solver_drv" localSheetId="14" hidden="1">1</definedName>
    <definedName name="solver_eng" localSheetId="7" hidden="1">1</definedName>
    <definedName name="solver_eng" localSheetId="13" hidden="1">1</definedName>
    <definedName name="solver_eng" localSheetId="14" hidden="1">1</definedName>
    <definedName name="solver_est" localSheetId="7" hidden="1">1</definedName>
    <definedName name="solver_est" localSheetId="13" hidden="1">1</definedName>
    <definedName name="solver_est" localSheetId="14" hidden="1">1</definedName>
    <definedName name="solver_itr" localSheetId="7" hidden="1">2147483647</definedName>
    <definedName name="solver_itr" localSheetId="13" hidden="1">2147483647</definedName>
    <definedName name="solver_itr" localSheetId="14" hidden="1">2147483647</definedName>
    <definedName name="solver_mip" localSheetId="7" hidden="1">2147483647</definedName>
    <definedName name="solver_mip" localSheetId="13" hidden="1">2147483647</definedName>
    <definedName name="solver_mip" localSheetId="14" hidden="1">2147483647</definedName>
    <definedName name="solver_mni" localSheetId="7" hidden="1">30</definedName>
    <definedName name="solver_mni" localSheetId="13" hidden="1">30</definedName>
    <definedName name="solver_mni" localSheetId="14" hidden="1">30</definedName>
    <definedName name="solver_mrt" localSheetId="7" hidden="1">0.075</definedName>
    <definedName name="solver_mrt" localSheetId="13" hidden="1">0.075</definedName>
    <definedName name="solver_mrt" localSheetId="14" hidden="1">0.075</definedName>
    <definedName name="solver_msl" localSheetId="7" hidden="1">2</definedName>
    <definedName name="solver_msl" localSheetId="13" hidden="1">2</definedName>
    <definedName name="solver_msl" localSheetId="14" hidden="1">2</definedName>
    <definedName name="solver_neg" localSheetId="7" hidden="1">1</definedName>
    <definedName name="solver_neg" localSheetId="13" hidden="1">1</definedName>
    <definedName name="solver_neg" localSheetId="14" hidden="1">1</definedName>
    <definedName name="solver_nod" localSheetId="7" hidden="1">2147483647</definedName>
    <definedName name="solver_nod" localSheetId="13" hidden="1">2147483647</definedName>
    <definedName name="solver_nod" localSheetId="14" hidden="1">2147483647</definedName>
    <definedName name="solver_num" localSheetId="7" hidden="1">0</definedName>
    <definedName name="solver_num" localSheetId="13" hidden="1">0</definedName>
    <definedName name="solver_num" localSheetId="14" hidden="1">0</definedName>
    <definedName name="solver_nwt" localSheetId="7" hidden="1">1</definedName>
    <definedName name="solver_nwt" localSheetId="13" hidden="1">1</definedName>
    <definedName name="solver_nwt" localSheetId="14" hidden="1">1</definedName>
    <definedName name="solver_opt" localSheetId="7" hidden="1">'4. Pro Forma'!#REF!</definedName>
    <definedName name="solver_opt" localSheetId="13" hidden="1">'Pro Forma'!#REF!</definedName>
    <definedName name="solver_opt" localSheetId="14" hidden="1">'Pro Forma UG Parking'!#REF!</definedName>
    <definedName name="solver_pre" localSheetId="7" hidden="1">0.000001</definedName>
    <definedName name="solver_pre" localSheetId="13" hidden="1">0.000001</definedName>
    <definedName name="solver_pre" localSheetId="14" hidden="1">0.000001</definedName>
    <definedName name="solver_rbv" localSheetId="7" hidden="1">1</definedName>
    <definedName name="solver_rbv" localSheetId="13" hidden="1">1</definedName>
    <definedName name="solver_rbv" localSheetId="14" hidden="1">1</definedName>
    <definedName name="solver_rlx" localSheetId="7" hidden="1">2</definedName>
    <definedName name="solver_rlx" localSheetId="13" hidden="1">2</definedName>
    <definedName name="solver_rlx" localSheetId="14" hidden="1">2</definedName>
    <definedName name="solver_rsd" localSheetId="7" hidden="1">0</definedName>
    <definedName name="solver_rsd" localSheetId="13" hidden="1">0</definedName>
    <definedName name="solver_rsd" localSheetId="14" hidden="1">0</definedName>
    <definedName name="solver_scl" localSheetId="7" hidden="1">1</definedName>
    <definedName name="solver_scl" localSheetId="13" hidden="1">1</definedName>
    <definedName name="solver_scl" localSheetId="14" hidden="1">1</definedName>
    <definedName name="solver_sho" localSheetId="7" hidden="1">2</definedName>
    <definedName name="solver_sho" localSheetId="13" hidden="1">2</definedName>
    <definedName name="solver_sho" localSheetId="14" hidden="1">2</definedName>
    <definedName name="solver_ssz" localSheetId="7" hidden="1">100</definedName>
    <definedName name="solver_ssz" localSheetId="13" hidden="1">100</definedName>
    <definedName name="solver_ssz" localSheetId="14" hidden="1">100</definedName>
    <definedName name="solver_tim" localSheetId="7" hidden="1">2147483647</definedName>
    <definedName name="solver_tim" localSheetId="13" hidden="1">2147483647</definedName>
    <definedName name="solver_tim" localSheetId="14" hidden="1">2147483647</definedName>
    <definedName name="solver_tol" localSheetId="7" hidden="1">0.01</definedName>
    <definedName name="solver_tol" localSheetId="13" hidden="1">0.01</definedName>
    <definedName name="solver_tol" localSheetId="14" hidden="1">0.01</definedName>
    <definedName name="solver_typ" localSheetId="7" hidden="1">3</definedName>
    <definedName name="solver_typ" localSheetId="13" hidden="1">3</definedName>
    <definedName name="solver_typ" localSheetId="14" hidden="1">3</definedName>
    <definedName name="solver_val" localSheetId="7" hidden="1">0</definedName>
    <definedName name="solver_val" localSheetId="13" hidden="1">0</definedName>
    <definedName name="solver_val" localSheetId="14" hidden="1">0</definedName>
    <definedName name="solver_ver" localSheetId="7" hidden="1">3</definedName>
    <definedName name="solver_ver" localSheetId="13" hidden="1">3</definedName>
    <definedName name="solver_ver" localSheetId="14" hidden="1">3</definedName>
    <definedName name="unitsize" localSheetId="11">[4]Results!$C$14</definedName>
    <definedName name="unitsize">[5]Results!$C$14</definedName>
    <definedName name="Utility_0BR_Renter">'[10]2.UtilityAssump'!$B$13</definedName>
    <definedName name="Utility_1BR_Owner_MF">'[10]2.UtilityAssump'!$C$14</definedName>
    <definedName name="Utility_1BR_Renter">'[10]2.UtilityAssump'!$C$13</definedName>
    <definedName name="Utility_2BR_Owner_MF">'[10]2.UtilityAssump'!$D$14</definedName>
    <definedName name="Utility_2BR_Renter">'[10]2.UtilityAssump'!$D$13</definedName>
    <definedName name="Utility_3BR_Owner_MF">'[10]2.UtilityAssump'!$E$14</definedName>
    <definedName name="Utility_3BR_Renter">'[10]2.UtilityAssump'!$E$13</definedName>
    <definedName name="WFCDiscPerUnit" localSheetId="11">[1]AHAssumptions!$C$46</definedName>
    <definedName name="WFCDiscPerUnit">[3]AHAssumptions!$C$61</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9" i="46" l="1"/>
  <c r="I74" i="49"/>
  <c r="I14" i="49"/>
  <c r="C22" i="53"/>
  <c r="C6" i="53"/>
  <c r="C7" i="53" s="1"/>
  <c r="C15" i="53" s="1"/>
  <c r="C38" i="53"/>
  <c r="C39" i="53"/>
  <c r="C57" i="53"/>
  <c r="C56" i="53"/>
  <c r="C58" i="53" s="1"/>
  <c r="U14" i="36"/>
  <c r="U13" i="36"/>
  <c r="U12" i="36"/>
  <c r="D10" i="52"/>
  <c r="C17" i="53"/>
  <c r="D77" i="55"/>
  <c r="D79" i="55" s="1"/>
  <c r="C69" i="55"/>
  <c r="C70" i="55"/>
  <c r="D47" i="55"/>
  <c r="D46" i="55"/>
  <c r="D45" i="55"/>
  <c r="D15" i="52"/>
  <c r="Q33" i="36"/>
  <c r="C9" i="53" l="1"/>
  <c r="C95" i="53" s="1"/>
  <c r="I14" i="46"/>
  <c r="I8" i="49"/>
  <c r="D6" i="32"/>
  <c r="D28" i="32"/>
  <c r="D78" i="55"/>
  <c r="C23" i="53"/>
  <c r="C16" i="53" s="1"/>
  <c r="C4" i="53"/>
  <c r="B9" i="55"/>
  <c r="C9" i="55"/>
  <c r="D9" i="55"/>
  <c r="B10" i="55"/>
  <c r="C10" i="55"/>
  <c r="D10" i="55"/>
  <c r="B12" i="55"/>
  <c r="B13" i="55"/>
  <c r="C13" i="55"/>
  <c r="D13" i="55"/>
  <c r="B14" i="55"/>
  <c r="C14" i="55"/>
  <c r="D14" i="55"/>
  <c r="B15" i="55"/>
  <c r="C15" i="55"/>
  <c r="D15" i="55"/>
  <c r="B17" i="55"/>
  <c r="B18" i="55"/>
  <c r="C18" i="55"/>
  <c r="D18" i="55"/>
  <c r="B19" i="55"/>
  <c r="C19" i="55"/>
  <c r="D19" i="55"/>
  <c r="B20" i="55"/>
  <c r="C20" i="55"/>
  <c r="D20" i="55"/>
  <c r="B21" i="55"/>
  <c r="C21" i="55"/>
  <c r="B23" i="55"/>
  <c r="C23" i="55"/>
  <c r="D23" i="55"/>
  <c r="B25" i="55"/>
  <c r="B26" i="55"/>
  <c r="C26" i="55"/>
  <c r="D26" i="55"/>
  <c r="B27" i="55"/>
  <c r="C27" i="55"/>
  <c r="D27" i="55"/>
  <c r="B28" i="55"/>
  <c r="C28" i="55"/>
  <c r="D28" i="55"/>
  <c r="B29" i="55"/>
  <c r="C29" i="55"/>
  <c r="D29" i="55"/>
  <c r="B30" i="55"/>
  <c r="C30" i="55"/>
  <c r="D30" i="55"/>
  <c r="B32" i="55"/>
  <c r="B33" i="55"/>
  <c r="B34" i="55"/>
  <c r="B36" i="55"/>
  <c r="B37" i="55"/>
  <c r="C37" i="55"/>
  <c r="D37" i="55"/>
  <c r="B8" i="55"/>
  <c r="D31" i="32"/>
  <c r="D35" i="32" s="1"/>
  <c r="D36" i="32" s="1"/>
  <c r="D37" i="32" s="1"/>
  <c r="AE28" i="36"/>
  <c r="D8" i="32" l="1"/>
  <c r="D9" i="32" s="1"/>
  <c r="J6" i="32"/>
  <c r="K6" i="32" s="1"/>
  <c r="C12" i="53"/>
  <c r="I7" i="49" s="1"/>
  <c r="I6" i="49"/>
  <c r="I36" i="49" s="1"/>
  <c r="C92" i="53"/>
  <c r="C30" i="53"/>
  <c r="C31" i="53" s="1"/>
  <c r="C40" i="53"/>
  <c r="I17" i="46"/>
  <c r="D30" i="32"/>
  <c r="J8" i="32" l="1"/>
  <c r="J9" i="32" s="1"/>
  <c r="I8" i="46"/>
  <c r="AD33" i="36"/>
  <c r="P74" i="49"/>
  <c r="M74" i="49"/>
  <c r="L74" i="49"/>
  <c r="J74" i="49"/>
  <c r="E74" i="49"/>
  <c r="D74" i="49"/>
  <c r="P14" i="49"/>
  <c r="M14" i="49"/>
  <c r="L14" i="49"/>
  <c r="J14" i="49"/>
  <c r="E14" i="49"/>
  <c r="D14" i="49"/>
  <c r="R12" i="49"/>
  <c r="R37" i="49" s="1"/>
  <c r="Q12" i="49"/>
  <c r="Q37" i="49" s="1"/>
  <c r="P12" i="49"/>
  <c r="P37" i="49" s="1"/>
  <c r="O12" i="49"/>
  <c r="O37" i="49" s="1"/>
  <c r="N12" i="49"/>
  <c r="N37" i="49" s="1"/>
  <c r="M12" i="49"/>
  <c r="M37" i="49" s="1"/>
  <c r="L12" i="49"/>
  <c r="L37" i="49" s="1"/>
  <c r="K12" i="49"/>
  <c r="K37" i="49" s="1"/>
  <c r="J12" i="49"/>
  <c r="J37" i="49" s="1"/>
  <c r="H12" i="49"/>
  <c r="H37" i="49" s="1"/>
  <c r="G12" i="49"/>
  <c r="G37" i="49" s="1"/>
  <c r="F12" i="49"/>
  <c r="F37" i="49" s="1"/>
  <c r="E12" i="49"/>
  <c r="E37" i="49" s="1"/>
  <c r="D12" i="49"/>
  <c r="D37" i="49" s="1"/>
  <c r="C11" i="49"/>
  <c r="R9" i="49"/>
  <c r="Q9" i="49"/>
  <c r="Q10" i="49" s="1"/>
  <c r="P9" i="49"/>
  <c r="P47" i="49" s="1"/>
  <c r="O9" i="49"/>
  <c r="O47" i="49" s="1"/>
  <c r="N9" i="49"/>
  <c r="M9" i="49"/>
  <c r="M47" i="49" s="1"/>
  <c r="L9" i="49"/>
  <c r="L47" i="49" s="1"/>
  <c r="K9" i="49"/>
  <c r="K47" i="49" s="1"/>
  <c r="J9" i="49"/>
  <c r="H9" i="49"/>
  <c r="H47" i="49" s="1"/>
  <c r="G9" i="49"/>
  <c r="G47" i="49" s="1"/>
  <c r="F9" i="49"/>
  <c r="E9" i="49"/>
  <c r="E47" i="49" s="1"/>
  <c r="D9" i="49"/>
  <c r="D47" i="49" s="1"/>
  <c r="R7" i="49"/>
  <c r="Q7" i="49"/>
  <c r="P7" i="49"/>
  <c r="O7" i="49"/>
  <c r="N7" i="49"/>
  <c r="M7" i="49"/>
  <c r="L7" i="49"/>
  <c r="K7" i="49"/>
  <c r="J7" i="49"/>
  <c r="H7" i="49"/>
  <c r="F7" i="49"/>
  <c r="E7" i="49"/>
  <c r="D7" i="49"/>
  <c r="R6" i="49"/>
  <c r="R36" i="49" s="1"/>
  <c r="Q6" i="49"/>
  <c r="Q36" i="49" s="1"/>
  <c r="P6" i="49"/>
  <c r="P36" i="49" s="1"/>
  <c r="O6" i="49"/>
  <c r="O36" i="49" s="1"/>
  <c r="N6" i="49"/>
  <c r="N36" i="49" s="1"/>
  <c r="M6" i="49"/>
  <c r="M36" i="49" s="1"/>
  <c r="L6" i="49"/>
  <c r="L36" i="49" s="1"/>
  <c r="K6" i="49"/>
  <c r="K36" i="49" s="1"/>
  <c r="J6" i="49"/>
  <c r="J36" i="49" s="1"/>
  <c r="H6" i="49"/>
  <c r="H36" i="49" s="1"/>
  <c r="G6" i="49"/>
  <c r="G36" i="49" s="1"/>
  <c r="F6" i="49"/>
  <c r="F36" i="49" s="1"/>
  <c r="E6" i="49"/>
  <c r="E36" i="49" s="1"/>
  <c r="D6" i="49"/>
  <c r="D36" i="49" s="1"/>
  <c r="R5" i="49"/>
  <c r="R32" i="49" s="1"/>
  <c r="Q5" i="49"/>
  <c r="Q32" i="49" s="1"/>
  <c r="P5" i="49"/>
  <c r="P32" i="49" s="1"/>
  <c r="O5" i="49"/>
  <c r="O32" i="49" s="1"/>
  <c r="N5" i="49"/>
  <c r="N32" i="49" s="1"/>
  <c r="M5" i="49"/>
  <c r="M32" i="49" s="1"/>
  <c r="L5" i="49"/>
  <c r="L32" i="49" s="1"/>
  <c r="K5" i="49"/>
  <c r="K32" i="49" s="1"/>
  <c r="J5" i="49"/>
  <c r="J32" i="49" s="1"/>
  <c r="I5" i="49"/>
  <c r="I32" i="49" s="1"/>
  <c r="H5" i="49"/>
  <c r="H32" i="49" s="1"/>
  <c r="G5" i="49"/>
  <c r="G32" i="49" s="1"/>
  <c r="F5" i="49"/>
  <c r="F32" i="49" s="1"/>
  <c r="E5" i="49"/>
  <c r="E32" i="49" s="1"/>
  <c r="D5" i="49"/>
  <c r="D32" i="49" s="1"/>
  <c r="B5" i="49"/>
  <c r="R4" i="49"/>
  <c r="Q4" i="49"/>
  <c r="P4" i="49"/>
  <c r="O4" i="49"/>
  <c r="N4" i="49"/>
  <c r="M4" i="49"/>
  <c r="L4" i="49"/>
  <c r="K4" i="49"/>
  <c r="J4" i="49"/>
  <c r="I4" i="49"/>
  <c r="H4" i="49"/>
  <c r="G4" i="49"/>
  <c r="F4" i="49"/>
  <c r="E4" i="49"/>
  <c r="D4" i="49"/>
  <c r="B4" i="49"/>
  <c r="R3" i="49"/>
  <c r="R74" i="49" s="1"/>
  <c r="Q3" i="49"/>
  <c r="Q74" i="49" s="1"/>
  <c r="R68" i="4"/>
  <c r="Q68" i="4"/>
  <c r="R69" i="4"/>
  <c r="R30" i="4"/>
  <c r="Q30" i="4"/>
  <c r="Q69" i="4" s="1"/>
  <c r="J11" i="32" l="1"/>
  <c r="O10" i="49"/>
  <c r="F76" i="49"/>
  <c r="E77" i="49"/>
  <c r="M77" i="49"/>
  <c r="Q77" i="49"/>
  <c r="K10" i="49"/>
  <c r="J76" i="49"/>
  <c r="N76" i="49"/>
  <c r="R76" i="49"/>
  <c r="G76" i="49"/>
  <c r="K76" i="49"/>
  <c r="O76" i="49"/>
  <c r="G10" i="49"/>
  <c r="D76" i="49"/>
  <c r="H76" i="49"/>
  <c r="L76" i="49"/>
  <c r="P76" i="49"/>
  <c r="E76" i="49"/>
  <c r="M76" i="49"/>
  <c r="Q76" i="49"/>
  <c r="F77" i="49"/>
  <c r="F40" i="49"/>
  <c r="R75" i="49"/>
  <c r="R33" i="49"/>
  <c r="O40" i="49"/>
  <c r="O77" i="49"/>
  <c r="O11" i="49"/>
  <c r="M75" i="49"/>
  <c r="M33" i="49"/>
  <c r="J77" i="49"/>
  <c r="J40" i="49"/>
  <c r="R40" i="49"/>
  <c r="R77" i="49"/>
  <c r="K11" i="49"/>
  <c r="F75" i="49"/>
  <c r="F33" i="49"/>
  <c r="N75" i="49"/>
  <c r="N33" i="49"/>
  <c r="K40" i="49"/>
  <c r="K77" i="49"/>
  <c r="O75" i="49"/>
  <c r="O33" i="49"/>
  <c r="H77" i="49"/>
  <c r="H40" i="49"/>
  <c r="P77" i="49"/>
  <c r="P40" i="49"/>
  <c r="F47" i="49"/>
  <c r="F10" i="49"/>
  <c r="F11" i="49" s="1"/>
  <c r="J47" i="49"/>
  <c r="J10" i="49"/>
  <c r="N47" i="49"/>
  <c r="N10" i="49"/>
  <c r="R47" i="49"/>
  <c r="R10" i="49"/>
  <c r="E75" i="49"/>
  <c r="E33" i="49"/>
  <c r="Q75" i="49"/>
  <c r="Q33" i="49"/>
  <c r="N77" i="49"/>
  <c r="N40" i="49"/>
  <c r="J75" i="49"/>
  <c r="J33" i="49"/>
  <c r="G77" i="49"/>
  <c r="G40" i="49"/>
  <c r="G75" i="49"/>
  <c r="G33" i="49"/>
  <c r="K75" i="49"/>
  <c r="K33" i="49"/>
  <c r="D77" i="49"/>
  <c r="D40" i="49"/>
  <c r="L77" i="49"/>
  <c r="L40" i="49"/>
  <c r="D75" i="49"/>
  <c r="D33" i="49"/>
  <c r="H75" i="49"/>
  <c r="H33" i="49"/>
  <c r="L75" i="49"/>
  <c r="L33" i="49"/>
  <c r="P75" i="49"/>
  <c r="P33" i="49"/>
  <c r="G11" i="49"/>
  <c r="D10" i="49"/>
  <c r="D11" i="49" s="1"/>
  <c r="H10" i="49"/>
  <c r="H11" i="49" s="1"/>
  <c r="L10" i="49"/>
  <c r="L11" i="49" s="1"/>
  <c r="P10" i="49"/>
  <c r="P11" i="49" s="1"/>
  <c r="M40" i="49"/>
  <c r="Q47" i="49"/>
  <c r="E10" i="49"/>
  <c r="E11" i="49" s="1"/>
  <c r="M10" i="49"/>
  <c r="E40" i="49"/>
  <c r="Q40" i="49"/>
  <c r="Q31" i="4"/>
  <c r="R31" i="4"/>
  <c r="Q34" i="4"/>
  <c r="Q71" i="4" s="1"/>
  <c r="R34" i="4"/>
  <c r="R71" i="4" s="1"/>
  <c r="Q35" i="4"/>
  <c r="R35" i="4"/>
  <c r="R70" i="4" s="1"/>
  <c r="R73" i="4" s="1"/>
  <c r="Q43" i="4"/>
  <c r="R43" i="4"/>
  <c r="R9" i="4"/>
  <c r="Q9" i="4"/>
  <c r="R11" i="4"/>
  <c r="Q11" i="4"/>
  <c r="R8" i="4"/>
  <c r="Q8" i="4"/>
  <c r="P12" i="39"/>
  <c r="O12" i="39"/>
  <c r="Q7" i="4" s="1"/>
  <c r="R7" i="4"/>
  <c r="R6" i="4"/>
  <c r="Q6" i="4"/>
  <c r="Q5" i="4"/>
  <c r="R5" i="4"/>
  <c r="R4" i="4"/>
  <c r="Q4" i="4"/>
  <c r="R3" i="4"/>
  <c r="Q3" i="4"/>
  <c r="O36" i="39"/>
  <c r="P36" i="39"/>
  <c r="P33" i="39"/>
  <c r="O33" i="39"/>
  <c r="O29" i="39"/>
  <c r="P29" i="39"/>
  <c r="P28" i="39"/>
  <c r="O28" i="39"/>
  <c r="O19" i="39"/>
  <c r="P19" i="39"/>
  <c r="O18" i="39"/>
  <c r="P18" i="39"/>
  <c r="P17" i="39"/>
  <c r="P11" i="39" s="1"/>
  <c r="O17" i="39"/>
  <c r="O11" i="39" s="1"/>
  <c r="P15" i="39"/>
  <c r="O15" i="39"/>
  <c r="P9" i="39"/>
  <c r="O9" i="39"/>
  <c r="P7" i="39"/>
  <c r="P6" i="39"/>
  <c r="O7" i="39"/>
  <c r="O6" i="39"/>
  <c r="H33" i="45"/>
  <c r="H32" i="45"/>
  <c r="F32" i="45"/>
  <c r="X31" i="45"/>
  <c r="V31" i="45"/>
  <c r="O31" i="45"/>
  <c r="O32" i="45" s="1"/>
  <c r="F31" i="45"/>
  <c r="F33" i="45" s="1"/>
  <c r="Y30" i="45"/>
  <c r="Y29" i="45"/>
  <c r="Y31" i="45" s="1"/>
  <c r="X22" i="45"/>
  <c r="W22" i="45"/>
  <c r="W24" i="45" s="1"/>
  <c r="U22" i="45"/>
  <c r="P22" i="45"/>
  <c r="O22" i="45"/>
  <c r="O24" i="45" s="1"/>
  <c r="M22" i="45"/>
  <c r="Q22" i="45" s="1"/>
  <c r="L22" i="45"/>
  <c r="F22" i="45"/>
  <c r="E22" i="45"/>
  <c r="E24" i="45" s="1"/>
  <c r="C22" i="45"/>
  <c r="V21" i="45"/>
  <c r="D21" i="45"/>
  <c r="V20" i="45"/>
  <c r="V22" i="45" s="1"/>
  <c r="Y22" i="45" s="1"/>
  <c r="N20" i="45"/>
  <c r="N22" i="45" s="1"/>
  <c r="R22" i="45" s="1"/>
  <c r="D20" i="45"/>
  <c r="D22" i="45" s="1"/>
  <c r="O19" i="45"/>
  <c r="U14" i="45"/>
  <c r="C14" i="45"/>
  <c r="D4" i="45"/>
  <c r="W13" i="45" s="1"/>
  <c r="D3" i="45"/>
  <c r="J15" i="32" l="1"/>
  <c r="J16" i="32" s="1"/>
  <c r="J14" i="32"/>
  <c r="Q36" i="4"/>
  <c r="Q37" i="4" s="1"/>
  <c r="Q70" i="4"/>
  <c r="Q73" i="4" s="1"/>
  <c r="L44" i="49"/>
  <c r="L41" i="49"/>
  <c r="L45" i="49"/>
  <c r="L43" i="49"/>
  <c r="M45" i="49"/>
  <c r="M44" i="49"/>
  <c r="M41" i="49"/>
  <c r="M43" i="49"/>
  <c r="H44" i="49"/>
  <c r="H41" i="49"/>
  <c r="H45" i="49"/>
  <c r="H43" i="49"/>
  <c r="J43" i="49"/>
  <c r="J45" i="49"/>
  <c r="J41" i="49"/>
  <c r="J44" i="49"/>
  <c r="E45" i="49"/>
  <c r="E44" i="49"/>
  <c r="E41" i="49"/>
  <c r="E43" i="49"/>
  <c r="D44" i="49"/>
  <c r="D41" i="49"/>
  <c r="D45" i="49"/>
  <c r="D43" i="49"/>
  <c r="N51" i="49"/>
  <c r="N43" i="49"/>
  <c r="N45" i="49"/>
  <c r="N44" i="49"/>
  <c r="J11" i="49"/>
  <c r="O43" i="49"/>
  <c r="O44" i="49"/>
  <c r="O51" i="49"/>
  <c r="O45" i="49"/>
  <c r="Q45" i="49"/>
  <c r="Q41" i="49"/>
  <c r="Q44" i="49"/>
  <c r="Q43" i="49"/>
  <c r="N11" i="49"/>
  <c r="P44" i="49"/>
  <c r="P45" i="49"/>
  <c r="P43" i="49"/>
  <c r="P41" i="49"/>
  <c r="F43" i="49"/>
  <c r="F45" i="49"/>
  <c r="F44" i="49"/>
  <c r="F41" i="49"/>
  <c r="G43" i="49"/>
  <c r="G44" i="49"/>
  <c r="G41" i="49"/>
  <c r="G45" i="49"/>
  <c r="K43" i="49"/>
  <c r="K44" i="49"/>
  <c r="K41" i="49"/>
  <c r="K51" i="49"/>
  <c r="K45" i="49"/>
  <c r="R41" i="49"/>
  <c r="R43" i="49"/>
  <c r="R45" i="49"/>
  <c r="R44" i="49"/>
  <c r="M11" i="49"/>
  <c r="R36" i="4"/>
  <c r="R41" i="4" s="1"/>
  <c r="Q41" i="4"/>
  <c r="Q40" i="4"/>
  <c r="Q39" i="4"/>
  <c r="R39" i="4"/>
  <c r="G22" i="45"/>
  <c r="D30" i="45"/>
  <c r="E12" i="45"/>
  <c r="O33" i="45"/>
  <c r="D29" i="45"/>
  <c r="E13" i="45"/>
  <c r="R37" i="4" l="1"/>
  <c r="R40" i="4"/>
  <c r="M30" i="45"/>
  <c r="P30" i="45" s="1"/>
  <c r="G30" i="45"/>
  <c r="D31" i="45"/>
  <c r="M29" i="45"/>
  <c r="G29" i="45"/>
  <c r="Q53" i="49" l="1"/>
  <c r="P29" i="45"/>
  <c r="P31" i="45" s="1"/>
  <c r="M31" i="45"/>
  <c r="G31" i="45"/>
  <c r="Q64" i="49" l="1"/>
  <c r="Q55" i="49"/>
  <c r="G32" i="45"/>
  <c r="G33" i="45" s="1"/>
  <c r="Q31" i="45"/>
  <c r="P33" i="45"/>
  <c r="P32" i="45"/>
  <c r="Q32" i="45" l="1"/>
  <c r="Q33" i="45" s="1"/>
  <c r="H11" i="44" l="1"/>
  <c r="H8" i="44"/>
  <c r="H7" i="44"/>
  <c r="H6" i="44"/>
  <c r="H5" i="44"/>
  <c r="H4" i="44"/>
  <c r="H3" i="44"/>
  <c r="H2" i="44"/>
  <c r="H10" i="44" s="1"/>
  <c r="L68" i="4" l="1"/>
  <c r="M68" i="4"/>
  <c r="P68" i="4"/>
  <c r="J68" i="4"/>
  <c r="M13" i="4"/>
  <c r="P13" i="4"/>
  <c r="J13" i="4"/>
  <c r="L13" i="4"/>
  <c r="D68" i="4"/>
  <c r="E68" i="4"/>
  <c r="E13" i="4"/>
  <c r="D13" i="4"/>
  <c r="D4" i="4"/>
  <c r="C17" i="39"/>
  <c r="C10" i="39"/>
  <c r="C8" i="39"/>
  <c r="C6" i="39"/>
  <c r="C4" i="39"/>
  <c r="F5" i="3" l="1"/>
  <c r="G5" i="3" s="1"/>
  <c r="G7" i="3" s="1"/>
  <c r="G11" i="43" l="1"/>
  <c r="C10" i="43"/>
  <c r="B5" i="43"/>
  <c r="H4" i="43"/>
  <c r="G4" i="43"/>
  <c r="F4" i="43"/>
  <c r="E4" i="43"/>
  <c r="D4" i="43"/>
  <c r="B4" i="43"/>
  <c r="G35" i="43" l="1"/>
  <c r="I22" i="39" l="1"/>
  <c r="K22" i="39" s="1"/>
  <c r="D7" i="40"/>
  <c r="L6" i="39" s="1"/>
  <c r="K4" i="43" s="1"/>
  <c r="D8" i="40"/>
  <c r="D9" i="40"/>
  <c r="C18" i="40"/>
  <c r="C19" i="40"/>
  <c r="M26" i="40"/>
  <c r="M29" i="40" s="1"/>
  <c r="E27" i="40"/>
  <c r="N27" i="40"/>
  <c r="E28" i="40"/>
  <c r="N28" i="40"/>
  <c r="N29" i="40" s="1"/>
  <c r="L16" i="39" s="1"/>
  <c r="C29" i="40"/>
  <c r="D29" i="40"/>
  <c r="I15" i="39" s="1"/>
  <c r="I6" i="43" s="1"/>
  <c r="E29" i="40"/>
  <c r="D69" i="40" s="1"/>
  <c r="E69" i="40" s="1"/>
  <c r="F29" i="40"/>
  <c r="H29" i="40" s="1"/>
  <c r="I12" i="39" s="1"/>
  <c r="I7" i="43" s="1"/>
  <c r="G29" i="40"/>
  <c r="L29" i="40"/>
  <c r="O29" i="40"/>
  <c r="O32" i="40" s="1"/>
  <c r="P29" i="40"/>
  <c r="P32" i="40" s="1"/>
  <c r="P35" i="40" s="1"/>
  <c r="E31" i="40"/>
  <c r="N31" i="40"/>
  <c r="C32" i="40"/>
  <c r="C35" i="40" s="1"/>
  <c r="D32" i="40"/>
  <c r="J15" i="39" s="1"/>
  <c r="G32" i="40"/>
  <c r="G35" i="40" s="1"/>
  <c r="L32" i="40"/>
  <c r="L35" i="40" s="1"/>
  <c r="E34" i="40"/>
  <c r="N34" i="40"/>
  <c r="D44" i="40"/>
  <c r="G44" i="40" s="1"/>
  <c r="D45" i="40"/>
  <c r="G45" i="40" s="1"/>
  <c r="E47" i="40"/>
  <c r="N47" i="40"/>
  <c r="C48" i="40"/>
  <c r="E48" i="40"/>
  <c r="L48" i="40"/>
  <c r="N48" i="40"/>
  <c r="G57" i="40"/>
  <c r="E58" i="40"/>
  <c r="N58" i="40"/>
  <c r="E59" i="40"/>
  <c r="N59" i="40"/>
  <c r="O59" i="40"/>
  <c r="E68" i="40"/>
  <c r="F68" i="40"/>
  <c r="N68" i="40"/>
  <c r="O68" i="40"/>
  <c r="F69" i="40"/>
  <c r="O69" i="40"/>
  <c r="E75" i="40"/>
  <c r="F75" i="40"/>
  <c r="N75" i="40"/>
  <c r="O75" i="40"/>
  <c r="O77" i="40" s="1"/>
  <c r="F76" i="40"/>
  <c r="O76" i="40"/>
  <c r="E82" i="40"/>
  <c r="F82" i="40"/>
  <c r="N82" i="40"/>
  <c r="O82" i="40"/>
  <c r="F83" i="40"/>
  <c r="O83" i="40"/>
  <c r="F84" i="40" l="1"/>
  <c r="K8" i="43"/>
  <c r="L19" i="39"/>
  <c r="I6" i="39"/>
  <c r="K7" i="39" s="1"/>
  <c r="N5" i="43" s="1"/>
  <c r="N30" i="43" s="1"/>
  <c r="K6" i="39"/>
  <c r="N4" i="43" s="1"/>
  <c r="F70" i="40"/>
  <c r="D10" i="40"/>
  <c r="J22" i="39"/>
  <c r="J6" i="43" s="1"/>
  <c r="K43" i="43"/>
  <c r="K9" i="43"/>
  <c r="K10" i="43" s="1"/>
  <c r="L9" i="39"/>
  <c r="L7" i="39"/>
  <c r="K5" i="43" s="1"/>
  <c r="K30" i="43" s="1"/>
  <c r="I4" i="43"/>
  <c r="D56" i="40"/>
  <c r="G56" i="40" s="1"/>
  <c r="D55" i="40"/>
  <c r="G55" i="40" s="1"/>
  <c r="G60" i="40" s="1"/>
  <c r="J25" i="39" s="1"/>
  <c r="F48" i="40"/>
  <c r="F49" i="40" s="1"/>
  <c r="K26" i="39" s="1"/>
  <c r="K27" i="39" s="1"/>
  <c r="E32" i="40"/>
  <c r="E35" i="40" s="1"/>
  <c r="I29" i="40"/>
  <c r="C20" i="40"/>
  <c r="M6" i="39"/>
  <c r="L4" i="43" s="1"/>
  <c r="I16" i="39"/>
  <c r="J6" i="4"/>
  <c r="L15" i="39"/>
  <c r="K6" i="43" s="1"/>
  <c r="N4" i="4"/>
  <c r="M15" i="39"/>
  <c r="L6" i="43" s="1"/>
  <c r="O38" i="40"/>
  <c r="L28" i="39" s="1"/>
  <c r="K11" i="43" s="1"/>
  <c r="K35" i="43" s="1"/>
  <c r="K70" i="43" s="1"/>
  <c r="O35" i="40"/>
  <c r="J7" i="4"/>
  <c r="L11" i="39"/>
  <c r="N8" i="4"/>
  <c r="N9" i="4" s="1"/>
  <c r="N5" i="4"/>
  <c r="N30" i="4" s="1"/>
  <c r="O84" i="40"/>
  <c r="D60" i="40"/>
  <c r="C59" i="40"/>
  <c r="F59" i="40" s="1"/>
  <c r="F60" i="40" s="1"/>
  <c r="J6" i="39"/>
  <c r="N6" i="39"/>
  <c r="M4" i="43" s="1"/>
  <c r="I26" i="39"/>
  <c r="I33" i="39"/>
  <c r="J4" i="4"/>
  <c r="M4" i="4"/>
  <c r="I11" i="39"/>
  <c r="J26" i="39"/>
  <c r="J27" i="39" s="1"/>
  <c r="M5" i="4"/>
  <c r="M30" i="4" s="1"/>
  <c r="I9" i="39"/>
  <c r="F77" i="40"/>
  <c r="D46" i="40"/>
  <c r="G46" i="40" s="1"/>
  <c r="G49" i="40" s="1"/>
  <c r="I25" i="39" s="1"/>
  <c r="D35" i="40"/>
  <c r="K15" i="39" s="1"/>
  <c r="N6" i="43" s="1"/>
  <c r="F32" i="40"/>
  <c r="J9" i="39" s="1"/>
  <c r="E70" i="40"/>
  <c r="J16" i="39"/>
  <c r="L8" i="4" s="1"/>
  <c r="O70" i="40"/>
  <c r="N7" i="39"/>
  <c r="M5" i="43" s="1"/>
  <c r="M30" i="43" s="1"/>
  <c r="L18" i="39"/>
  <c r="I7" i="39"/>
  <c r="I5" i="43" s="1"/>
  <c r="I30" i="43" s="1"/>
  <c r="M7" i="39"/>
  <c r="L5" i="43" s="1"/>
  <c r="L30" i="43" s="1"/>
  <c r="J7" i="39"/>
  <c r="M69" i="40"/>
  <c r="N69" i="40" s="1"/>
  <c r="N70" i="40" s="1"/>
  <c r="R29" i="40"/>
  <c r="N32" i="40"/>
  <c r="M16" i="39" s="1"/>
  <c r="M32" i="40"/>
  <c r="M44" i="40"/>
  <c r="M45" i="40"/>
  <c r="O45" i="40" s="1"/>
  <c r="G50" i="40"/>
  <c r="G51" i="40" s="1"/>
  <c r="Q29" i="40"/>
  <c r="L12" i="39" s="1"/>
  <c r="K7" i="43" s="1"/>
  <c r="F50" i="40"/>
  <c r="F51" i="40" s="1"/>
  <c r="F61" i="40"/>
  <c r="F62" i="40" s="1"/>
  <c r="G61" i="40"/>
  <c r="G62" i="40" s="1"/>
  <c r="L59" i="40"/>
  <c r="H32" i="40"/>
  <c r="J12" i="39" s="1"/>
  <c r="L43" i="4" l="1"/>
  <c r="L9" i="4"/>
  <c r="L10" i="4" s="1"/>
  <c r="J7" i="43"/>
  <c r="L7" i="4"/>
  <c r="J5" i="43"/>
  <c r="J30" i="43" s="1"/>
  <c r="L5" i="4"/>
  <c r="L30" i="4" s="1"/>
  <c r="J4" i="43"/>
  <c r="L4" i="4"/>
  <c r="L6" i="4"/>
  <c r="L34" i="4" s="1"/>
  <c r="P4" i="4"/>
  <c r="K6" i="4"/>
  <c r="I35" i="40"/>
  <c r="D83" i="40"/>
  <c r="E83" i="40" s="1"/>
  <c r="E84" i="40" s="1"/>
  <c r="K16" i="39"/>
  <c r="M8" i="4" s="1"/>
  <c r="L8" i="43"/>
  <c r="M19" i="39"/>
  <c r="J8" i="43"/>
  <c r="J43" i="43" s="1"/>
  <c r="J19" i="39"/>
  <c r="I18" i="39"/>
  <c r="I19" i="39"/>
  <c r="N69" i="4"/>
  <c r="N43" i="4"/>
  <c r="I27" i="39"/>
  <c r="J8" i="4"/>
  <c r="I8" i="43"/>
  <c r="I31" i="43" s="1"/>
  <c r="I32" i="40"/>
  <c r="D76" i="40"/>
  <c r="E76" i="40" s="1"/>
  <c r="E77" i="40" s="1"/>
  <c r="J9" i="43"/>
  <c r="J10" i="43" s="1"/>
  <c r="N31" i="4"/>
  <c r="L43" i="43"/>
  <c r="L9" i="43"/>
  <c r="L69" i="43"/>
  <c r="L31" i="43"/>
  <c r="K69" i="43"/>
  <c r="K31" i="43"/>
  <c r="N7" i="4"/>
  <c r="K5" i="4"/>
  <c r="K30" i="4" s="1"/>
  <c r="O5" i="4"/>
  <c r="O30" i="4" s="1"/>
  <c r="H51" i="40"/>
  <c r="P8" i="4"/>
  <c r="M18" i="39"/>
  <c r="M11" i="39"/>
  <c r="P5" i="4"/>
  <c r="P30" i="4" s="1"/>
  <c r="O4" i="4"/>
  <c r="K11" i="39"/>
  <c r="K18" i="39"/>
  <c r="K7" i="4"/>
  <c r="J5" i="4"/>
  <c r="J30" i="4" s="1"/>
  <c r="F38" i="40"/>
  <c r="I28" i="39" s="1"/>
  <c r="I11" i="43" s="1"/>
  <c r="I35" i="43" s="1"/>
  <c r="F35" i="40"/>
  <c r="H35" i="40" s="1"/>
  <c r="K12" i="39" s="1"/>
  <c r="N7" i="43" s="1"/>
  <c r="M33" i="39"/>
  <c r="M36" i="39" s="1"/>
  <c r="I36" i="39"/>
  <c r="L33" i="39"/>
  <c r="L36" i="39" s="1"/>
  <c r="K33" i="39"/>
  <c r="K36" i="39" s="1"/>
  <c r="J33" i="39"/>
  <c r="J36" i="39" s="1"/>
  <c r="N33" i="39"/>
  <c r="N36" i="39" s="1"/>
  <c r="K4" i="4"/>
  <c r="L29" i="39"/>
  <c r="N28" i="39"/>
  <c r="N11" i="4"/>
  <c r="N35" i="4" s="1"/>
  <c r="N70" i="4" s="1"/>
  <c r="M28" i="39"/>
  <c r="L11" i="43" s="1"/>
  <c r="L35" i="43" s="1"/>
  <c r="L70" i="43" s="1"/>
  <c r="P6" i="4"/>
  <c r="N6" i="4"/>
  <c r="M35" i="40"/>
  <c r="M9" i="39"/>
  <c r="J11" i="39"/>
  <c r="J18" i="39"/>
  <c r="K8" i="4"/>
  <c r="M6" i="4"/>
  <c r="N15" i="39"/>
  <c r="M6" i="43" s="1"/>
  <c r="N10" i="4"/>
  <c r="M56" i="40"/>
  <c r="O56" i="40" s="1"/>
  <c r="R32" i="40"/>
  <c r="N35" i="40"/>
  <c r="N16" i="39" s="1"/>
  <c r="M76" i="40"/>
  <c r="N76" i="40" s="1"/>
  <c r="N77" i="40" s="1"/>
  <c r="M55" i="40"/>
  <c r="Q32" i="40"/>
  <c r="M12" i="39" s="1"/>
  <c r="L7" i="43" s="1"/>
  <c r="M46" i="40"/>
  <c r="O46" i="40" s="1"/>
  <c r="O44" i="40"/>
  <c r="H62" i="40"/>
  <c r="M11" i="43" l="1"/>
  <c r="M35" i="43" s="1"/>
  <c r="L11" i="4"/>
  <c r="L35" i="4" s="1"/>
  <c r="L70" i="4" s="1"/>
  <c r="L31" i="4"/>
  <c r="L69" i="4"/>
  <c r="L71" i="4"/>
  <c r="J31" i="43"/>
  <c r="M8" i="43"/>
  <c r="M31" i="43" s="1"/>
  <c r="N19" i="39"/>
  <c r="K9" i="39"/>
  <c r="J69" i="43"/>
  <c r="N8" i="43"/>
  <c r="K19" i="39"/>
  <c r="I70" i="43"/>
  <c r="O49" i="40"/>
  <c r="I43" i="43"/>
  <c r="I9" i="43"/>
  <c r="I10" i="43" s="1"/>
  <c r="I69" i="43"/>
  <c r="M43" i="43"/>
  <c r="L10" i="43"/>
  <c r="J43" i="4"/>
  <c r="J9" i="4"/>
  <c r="J10" i="4" s="1"/>
  <c r="P7" i="4"/>
  <c r="K9" i="4"/>
  <c r="K10" i="4" s="1"/>
  <c r="K43" i="4"/>
  <c r="O11" i="4"/>
  <c r="O35" i="4" s="1"/>
  <c r="N29" i="39"/>
  <c r="J28" i="39"/>
  <c r="J11" i="43" s="1"/>
  <c r="J11" i="4"/>
  <c r="J35" i="4" s="1"/>
  <c r="J70" i="4" s="1"/>
  <c r="I29" i="39"/>
  <c r="K28" i="39"/>
  <c r="N11" i="43" s="1"/>
  <c r="N35" i="43" s="1"/>
  <c r="K69" i="4"/>
  <c r="K31" i="4"/>
  <c r="O6" i="4"/>
  <c r="N9" i="39"/>
  <c r="Q35" i="40"/>
  <c r="N12" i="39" s="1"/>
  <c r="M7" i="43" s="1"/>
  <c r="J69" i="4"/>
  <c r="J31" i="4"/>
  <c r="M43" i="4"/>
  <c r="M69" i="4"/>
  <c r="M31" i="4"/>
  <c r="M9" i="4"/>
  <c r="P69" i="4"/>
  <c r="P31" i="4"/>
  <c r="P43" i="4"/>
  <c r="P9" i="4"/>
  <c r="N11" i="39"/>
  <c r="O8" i="4"/>
  <c r="N18" i="39"/>
  <c r="P11" i="4"/>
  <c r="P35" i="4" s="1"/>
  <c r="P70" i="4" s="1"/>
  <c r="M29" i="39"/>
  <c r="M7" i="4"/>
  <c r="M83" i="40"/>
  <c r="N83" i="40" s="1"/>
  <c r="N84" i="40" s="1"/>
  <c r="R35" i="40"/>
  <c r="O50" i="40"/>
  <c r="O51" i="40" s="1"/>
  <c r="O55" i="40"/>
  <c r="M60" i="40"/>
  <c r="M57" i="40"/>
  <c r="O57" i="40" s="1"/>
  <c r="L36" i="4" l="1"/>
  <c r="L41" i="4" s="1"/>
  <c r="N70" i="43"/>
  <c r="M69" i="43"/>
  <c r="M9" i="43"/>
  <c r="M10" i="43" s="1"/>
  <c r="M70" i="43"/>
  <c r="N43" i="43"/>
  <c r="N69" i="43"/>
  <c r="N9" i="43"/>
  <c r="N10" i="43" s="1"/>
  <c r="N31" i="43"/>
  <c r="J35" i="43"/>
  <c r="J70" i="43" s="1"/>
  <c r="O43" i="4"/>
  <c r="O9" i="4"/>
  <c r="O69" i="4"/>
  <c r="P10" i="4"/>
  <c r="O7" i="4"/>
  <c r="O70" i="4"/>
  <c r="M10" i="4"/>
  <c r="J29" i="39"/>
  <c r="K11" i="4"/>
  <c r="K35" i="4" s="1"/>
  <c r="K70" i="4" s="1"/>
  <c r="O31" i="4"/>
  <c r="K29" i="39"/>
  <c r="M11" i="4"/>
  <c r="M35" i="4" s="1"/>
  <c r="M70" i="4" s="1"/>
  <c r="O60" i="40"/>
  <c r="L40" i="4" l="1"/>
  <c r="L39" i="4"/>
  <c r="L37" i="4"/>
  <c r="O10" i="4"/>
  <c r="O61" i="40"/>
  <c r="O62" i="40" s="1"/>
  <c r="C10" i="4" l="1"/>
  <c r="D44" i="32" l="1"/>
  <c r="J14" i="37" l="1"/>
  <c r="J13" i="37"/>
  <c r="J12" i="37"/>
  <c r="J11" i="37"/>
  <c r="J10" i="37"/>
  <c r="J9" i="37"/>
  <c r="J8" i="37"/>
  <c r="J7" i="37"/>
  <c r="J6" i="37"/>
  <c r="J5" i="37"/>
  <c r="AB4" i="37"/>
  <c r="AA4" i="37"/>
  <c r="I4" i="37"/>
  <c r="J4" i="37" s="1"/>
  <c r="F4" i="37"/>
  <c r="J3" i="37"/>
  <c r="I34" i="43" l="1"/>
  <c r="J34" i="43"/>
  <c r="L34" i="43"/>
  <c r="N34" i="43"/>
  <c r="K34" i="43"/>
  <c r="M34" i="43"/>
  <c r="J34" i="4"/>
  <c r="P34" i="4"/>
  <c r="K34" i="4"/>
  <c r="O34" i="4"/>
  <c r="M34" i="4"/>
  <c r="N34" i="4"/>
  <c r="H11" i="4"/>
  <c r="H35" i="4" s="1"/>
  <c r="D47" i="32"/>
  <c r="F4" i="4"/>
  <c r="G4" i="4"/>
  <c r="H4" i="4"/>
  <c r="I4" i="4"/>
  <c r="B5" i="4"/>
  <c r="B4" i="4"/>
  <c r="E4" i="4"/>
  <c r="H17" i="39"/>
  <c r="G17" i="39"/>
  <c r="F17" i="39"/>
  <c r="E17" i="39"/>
  <c r="D17" i="39"/>
  <c r="H7" i="39"/>
  <c r="H5" i="43" s="1"/>
  <c r="H30" i="43" s="1"/>
  <c r="G7" i="39"/>
  <c r="G5" i="43" s="1"/>
  <c r="G30" i="43" s="1"/>
  <c r="F7" i="39"/>
  <c r="F5" i="43" s="1"/>
  <c r="F30" i="43" s="1"/>
  <c r="E7" i="39"/>
  <c r="E5" i="43" s="1"/>
  <c r="E30" i="43" s="1"/>
  <c r="D7" i="39"/>
  <c r="D5" i="43" s="1"/>
  <c r="D30" i="43" s="1"/>
  <c r="F27" i="38"/>
  <c r="F44" i="38"/>
  <c r="E27" i="38"/>
  <c r="E44" i="38"/>
  <c r="D27" i="38"/>
  <c r="D44" i="38"/>
  <c r="C27" i="38"/>
  <c r="C44" i="38"/>
  <c r="F26" i="38"/>
  <c r="E26" i="38"/>
  <c r="D26" i="38"/>
  <c r="C26" i="38"/>
  <c r="C52" i="38" s="1"/>
  <c r="C8" i="38" s="1"/>
  <c r="F25" i="38"/>
  <c r="E25" i="38"/>
  <c r="D25" i="38"/>
  <c r="D51" i="38" s="1"/>
  <c r="D7" i="38" s="1"/>
  <c r="C25" i="38"/>
  <c r="C51" i="38" s="1"/>
  <c r="F24" i="38"/>
  <c r="E24" i="38"/>
  <c r="D24" i="38"/>
  <c r="C24" i="38"/>
  <c r="C50" i="38" s="1"/>
  <c r="C6" i="38" s="1"/>
  <c r="F23" i="38"/>
  <c r="E23" i="38"/>
  <c r="D23" i="38"/>
  <c r="C23" i="38"/>
  <c r="C48" i="38" s="1"/>
  <c r="C4" i="38" s="1"/>
  <c r="J17" i="1"/>
  <c r="I17" i="1"/>
  <c r="J7" i="1"/>
  <c r="I7" i="1"/>
  <c r="H17" i="1"/>
  <c r="G17" i="1"/>
  <c r="F17" i="1"/>
  <c r="H7" i="1"/>
  <c r="G7" i="1"/>
  <c r="E17" i="1"/>
  <c r="F7" i="1"/>
  <c r="E7" i="1"/>
  <c r="D17" i="1"/>
  <c r="C17" i="1"/>
  <c r="AD22" i="36"/>
  <c r="AD23" i="36"/>
  <c r="AD24" i="36"/>
  <c r="AD25" i="36"/>
  <c r="AC31" i="36"/>
  <c r="AD31" i="36" s="1"/>
  <c r="AC32" i="36"/>
  <c r="AD32" i="36" s="1"/>
  <c r="C14" i="36"/>
  <c r="C15" i="36"/>
  <c r="AF57" i="36"/>
  <c r="AF58" i="36" s="1"/>
  <c r="AF59" i="36" s="1"/>
  <c r="L26" i="36"/>
  <c r="E21" i="1" s="1"/>
  <c r="N56" i="36"/>
  <c r="N22" i="36"/>
  <c r="N23" i="36"/>
  <c r="N24" i="36"/>
  <c r="N25" i="36"/>
  <c r="M32" i="36"/>
  <c r="N32" i="36"/>
  <c r="D25" i="36"/>
  <c r="E56" i="36"/>
  <c r="C25" i="36"/>
  <c r="AE56" i="36"/>
  <c r="AE55" i="36"/>
  <c r="N55" i="36"/>
  <c r="E55" i="36"/>
  <c r="V22" i="36"/>
  <c r="V23" i="36"/>
  <c r="V24" i="36"/>
  <c r="V25" i="36"/>
  <c r="L45" i="36"/>
  <c r="O45" i="36" s="1"/>
  <c r="E25" i="1" s="1"/>
  <c r="N45" i="36"/>
  <c r="D42" i="36"/>
  <c r="G42" i="36" s="1"/>
  <c r="C45" i="36"/>
  <c r="E45" i="36"/>
  <c r="AE45" i="36"/>
  <c r="W45" i="36"/>
  <c r="AE44" i="36"/>
  <c r="W44" i="36"/>
  <c r="N44" i="36"/>
  <c r="E44" i="36"/>
  <c r="AE26" i="36"/>
  <c r="G33" i="39" s="1"/>
  <c r="G36" i="39" s="1"/>
  <c r="W26" i="36"/>
  <c r="G32" i="1" s="1"/>
  <c r="G35" i="1" s="1"/>
  <c r="O26" i="36"/>
  <c r="E32" i="1" s="1"/>
  <c r="E35" i="1" s="1"/>
  <c r="O33" i="36"/>
  <c r="O35" i="36" s="1"/>
  <c r="F25" i="36"/>
  <c r="D3" i="36"/>
  <c r="AC26" i="36"/>
  <c r="AE33" i="36"/>
  <c r="H33" i="39" s="1"/>
  <c r="H36" i="39" s="1"/>
  <c r="AF26" i="36"/>
  <c r="AF33" i="36" s="1"/>
  <c r="U31" i="36"/>
  <c r="V31" i="36" s="1"/>
  <c r="U32" i="36"/>
  <c r="V32" i="36" s="1"/>
  <c r="U26" i="36"/>
  <c r="Y26" i="36" s="1"/>
  <c r="G12" i="1" s="1"/>
  <c r="X26" i="36"/>
  <c r="X33" i="36" s="1"/>
  <c r="M26" i="36"/>
  <c r="E15" i="1" s="1"/>
  <c r="P26" i="36"/>
  <c r="P33" i="36" s="1"/>
  <c r="E23" i="36"/>
  <c r="E24" i="36"/>
  <c r="E31" i="36"/>
  <c r="G25" i="36"/>
  <c r="G32" i="36" s="1"/>
  <c r="O28" i="36"/>
  <c r="E27" i="1" s="1"/>
  <c r="U6" i="36"/>
  <c r="W6" i="36" s="1"/>
  <c r="D5" i="36"/>
  <c r="D4" i="36"/>
  <c r="D7" i="1"/>
  <c r="D29" i="3"/>
  <c r="D33" i="55" s="1"/>
  <c r="D30" i="3"/>
  <c r="D34" i="55" s="1"/>
  <c r="C7" i="1"/>
  <c r="C7" i="39" s="1"/>
  <c r="D5" i="4" s="1"/>
  <c r="D30" i="4" s="1"/>
  <c r="H22" i="13"/>
  <c r="D17" i="3"/>
  <c r="D21" i="55" s="1"/>
  <c r="C13" i="14"/>
  <c r="C8" i="14"/>
  <c r="C20" i="14" s="1"/>
  <c r="D20" i="14" s="1"/>
  <c r="F4" i="14"/>
  <c r="F3" i="14"/>
  <c r="D19" i="14"/>
  <c r="D17" i="14"/>
  <c r="D9" i="14"/>
  <c r="J19" i="9"/>
  <c r="J28" i="9" s="1"/>
  <c r="I19" i="9"/>
  <c r="I28" i="9" s="1"/>
  <c r="H19" i="9"/>
  <c r="H28" i="9" s="1"/>
  <c r="G19" i="9"/>
  <c r="G28" i="9" s="1"/>
  <c r="F19" i="9"/>
  <c r="F28" i="9" s="1"/>
  <c r="E19" i="9"/>
  <c r="E28" i="9" s="1"/>
  <c r="D19" i="9"/>
  <c r="D28" i="9" s="1"/>
  <c r="C19" i="9"/>
  <c r="C28" i="9" s="1"/>
  <c r="J18" i="9"/>
  <c r="J27" i="9" s="1"/>
  <c r="I18" i="9"/>
  <c r="I27" i="9" s="1"/>
  <c r="H18" i="9"/>
  <c r="H27" i="9" s="1"/>
  <c r="G18" i="9"/>
  <c r="G27" i="9"/>
  <c r="F18" i="9"/>
  <c r="F27" i="9" s="1"/>
  <c r="E18" i="9"/>
  <c r="E27" i="9" s="1"/>
  <c r="D18" i="9"/>
  <c r="D27" i="9" s="1"/>
  <c r="C18" i="9"/>
  <c r="C27" i="9" s="1"/>
  <c r="J17" i="9"/>
  <c r="J26" i="9" s="1"/>
  <c r="I17" i="9"/>
  <c r="I26" i="9" s="1"/>
  <c r="H17" i="9"/>
  <c r="H26" i="9" s="1"/>
  <c r="G17" i="9"/>
  <c r="G26" i="9" s="1"/>
  <c r="F17" i="9"/>
  <c r="F26" i="9" s="1"/>
  <c r="E17" i="9"/>
  <c r="E26" i="9" s="1"/>
  <c r="D17" i="9"/>
  <c r="D26" i="9" s="1"/>
  <c r="C17" i="9"/>
  <c r="C26" i="9" s="1"/>
  <c r="J16" i="9"/>
  <c r="J25" i="9" s="1"/>
  <c r="I16" i="9"/>
  <c r="I25" i="9" s="1"/>
  <c r="H16" i="9"/>
  <c r="H25" i="9" s="1"/>
  <c r="G16" i="9"/>
  <c r="G25" i="9" s="1"/>
  <c r="F16" i="9"/>
  <c r="F25" i="9" s="1"/>
  <c r="E16" i="9"/>
  <c r="E25" i="9" s="1"/>
  <c r="D16" i="9"/>
  <c r="D25" i="9" s="1"/>
  <c r="C16" i="9"/>
  <c r="C25" i="9" s="1"/>
  <c r="J15" i="9"/>
  <c r="J24" i="9" s="1"/>
  <c r="I15" i="9"/>
  <c r="I24" i="9" s="1"/>
  <c r="H15" i="9"/>
  <c r="H24" i="9" s="1"/>
  <c r="G15" i="9"/>
  <c r="G24" i="9" s="1"/>
  <c r="F15" i="9"/>
  <c r="F24" i="9" s="1"/>
  <c r="E15" i="9"/>
  <c r="E24" i="9" s="1"/>
  <c r="D15" i="9"/>
  <c r="D24" i="9" s="1"/>
  <c r="C15" i="9"/>
  <c r="C24" i="9" s="1"/>
  <c r="J46" i="49" l="1"/>
  <c r="J48" i="49" s="1"/>
  <c r="J49" i="49" s="1"/>
  <c r="Q46" i="49"/>
  <c r="P46" i="49"/>
  <c r="P48" i="49" s="1"/>
  <c r="P49" i="49" s="1"/>
  <c r="G46" i="49"/>
  <c r="H46" i="49"/>
  <c r="E46" i="49"/>
  <c r="E48" i="49" s="1"/>
  <c r="E49" i="49" s="1"/>
  <c r="D46" i="49"/>
  <c r="D48" i="49" s="1"/>
  <c r="D49" i="49" s="1"/>
  <c r="K46" i="49"/>
  <c r="K48" i="49" s="1"/>
  <c r="K49" i="49" s="1"/>
  <c r="L46" i="49"/>
  <c r="N46" i="49"/>
  <c r="N48" i="49" s="1"/>
  <c r="N49" i="49" s="1"/>
  <c r="O46" i="49"/>
  <c r="O48" i="49" s="1"/>
  <c r="O49" i="49" s="1"/>
  <c r="F46" i="49"/>
  <c r="F48" i="49" s="1"/>
  <c r="F49" i="49" s="1"/>
  <c r="R46" i="49"/>
  <c r="M46" i="49"/>
  <c r="R48" i="49"/>
  <c r="Q48" i="49"/>
  <c r="Q42" i="4"/>
  <c r="Q44" i="4" s="1"/>
  <c r="Q45" i="4" s="1"/>
  <c r="R42" i="4"/>
  <c r="C15" i="1"/>
  <c r="C15" i="39"/>
  <c r="D6" i="4" s="1"/>
  <c r="D34" i="4" s="1"/>
  <c r="C49" i="38"/>
  <c r="C5" i="38" s="1"/>
  <c r="L42" i="4"/>
  <c r="L44" i="4" s="1"/>
  <c r="L45" i="4" s="1"/>
  <c r="C32" i="1"/>
  <c r="C35" i="1" s="1"/>
  <c r="C33" i="39"/>
  <c r="C36" i="39" s="1"/>
  <c r="C32" i="36"/>
  <c r="D9" i="1" s="1"/>
  <c r="C22" i="39"/>
  <c r="C53" i="38"/>
  <c r="C9" i="38" s="1"/>
  <c r="M33" i="36"/>
  <c r="G9" i="39"/>
  <c r="D32" i="36"/>
  <c r="N26" i="36"/>
  <c r="D53" i="38"/>
  <c r="D9" i="38" s="1"/>
  <c r="AD26" i="36"/>
  <c r="AD42" i="36" s="1"/>
  <c r="AF42" i="36" s="1"/>
  <c r="E33" i="39"/>
  <c r="E36" i="39" s="1"/>
  <c r="W33" i="36"/>
  <c r="C16" i="36"/>
  <c r="U33" i="36"/>
  <c r="C7" i="38"/>
  <c r="I16" i="1"/>
  <c r="I28" i="1" s="1"/>
  <c r="U5" i="36"/>
  <c r="W5" i="36" s="1"/>
  <c r="AG26" i="36"/>
  <c r="G12" i="39" s="1"/>
  <c r="G7" i="43" s="1"/>
  <c r="E25" i="36"/>
  <c r="C16" i="39" s="1"/>
  <c r="D41" i="36"/>
  <c r="G41" i="36" s="1"/>
  <c r="D48" i="38"/>
  <c r="D4" i="38" s="1"/>
  <c r="F49" i="38"/>
  <c r="F5" i="38" s="1"/>
  <c r="D52" i="38"/>
  <c r="D8" i="38" s="1"/>
  <c r="F53" i="38"/>
  <c r="F9" i="38" s="1"/>
  <c r="L36" i="43"/>
  <c r="L42" i="43" s="1"/>
  <c r="L71" i="43"/>
  <c r="N71" i="43"/>
  <c r="N36" i="43"/>
  <c r="N42" i="43" s="1"/>
  <c r="C10" i="14"/>
  <c r="D10" i="14" s="1"/>
  <c r="F27" i="36"/>
  <c r="O46" i="36"/>
  <c r="F51" i="38"/>
  <c r="F7" i="38" s="1"/>
  <c r="G5" i="4"/>
  <c r="G30" i="4" s="1"/>
  <c r="M71" i="43"/>
  <c r="M36" i="43"/>
  <c r="M42" i="43" s="1"/>
  <c r="J71" i="43"/>
  <c r="J36" i="43"/>
  <c r="D8" i="14"/>
  <c r="H25" i="36"/>
  <c r="AC33" i="36"/>
  <c r="H15" i="39" s="1"/>
  <c r="H6" i="43" s="1"/>
  <c r="H34" i="43" s="1"/>
  <c r="F32" i="36"/>
  <c r="F48" i="38"/>
  <c r="F4" i="38" s="1"/>
  <c r="F52" i="38"/>
  <c r="F8" i="38" s="1"/>
  <c r="K71" i="43"/>
  <c r="K36" i="43"/>
  <c r="K42" i="43" s="1"/>
  <c r="I71" i="43"/>
  <c r="I36" i="43"/>
  <c r="E16" i="39"/>
  <c r="M41" i="36"/>
  <c r="N33" i="36"/>
  <c r="R26" i="36"/>
  <c r="E16" i="1"/>
  <c r="E28" i="1" s="1"/>
  <c r="M42" i="36"/>
  <c r="P42" i="36" s="1"/>
  <c r="C16" i="1"/>
  <c r="I25" i="36"/>
  <c r="F15" i="1"/>
  <c r="F15" i="39"/>
  <c r="H32" i="1"/>
  <c r="H35" i="1" s="1"/>
  <c r="W35" i="36"/>
  <c r="H27" i="1" s="1"/>
  <c r="C21" i="1"/>
  <c r="F45" i="36"/>
  <c r="D52" i="36"/>
  <c r="D15" i="39"/>
  <c r="D53" i="36"/>
  <c r="F53" i="36" s="1"/>
  <c r="Y33" i="36"/>
  <c r="H12" i="1" s="1"/>
  <c r="F28" i="39"/>
  <c r="F11" i="43" s="1"/>
  <c r="F27" i="1"/>
  <c r="D22" i="39"/>
  <c r="C9" i="1"/>
  <c r="C9" i="39" s="1"/>
  <c r="I11" i="1"/>
  <c r="E53" i="38"/>
  <c r="E9" i="38" s="1"/>
  <c r="E49" i="38"/>
  <c r="E5" i="38" s="1"/>
  <c r="E52" i="38"/>
  <c r="E8" i="38" s="1"/>
  <c r="E51" i="38"/>
  <c r="E7" i="38" s="1"/>
  <c r="E50" i="38"/>
  <c r="E6" i="38" s="1"/>
  <c r="E48" i="38"/>
  <c r="E4" i="38" s="1"/>
  <c r="Q26" i="36"/>
  <c r="H7" i="4"/>
  <c r="W28" i="36"/>
  <c r="G27" i="1" s="1"/>
  <c r="H9" i="1"/>
  <c r="F32" i="1"/>
  <c r="F35" i="1" s="1"/>
  <c r="F33" i="39"/>
  <c r="F36" i="39" s="1"/>
  <c r="V26" i="36"/>
  <c r="F56" i="36"/>
  <c r="C26" i="39" s="1"/>
  <c r="E22" i="39"/>
  <c r="L33" i="36"/>
  <c r="E9" i="1"/>
  <c r="E9" i="39"/>
  <c r="D50" i="38"/>
  <c r="D6" i="38" s="1"/>
  <c r="D49" i="38"/>
  <c r="D5" i="38" s="1"/>
  <c r="F5" i="4"/>
  <c r="F30" i="4" s="1"/>
  <c r="E15" i="39"/>
  <c r="E26" i="39"/>
  <c r="O48" i="36"/>
  <c r="C14" i="14"/>
  <c r="D6" i="36"/>
  <c r="G15" i="1"/>
  <c r="G9" i="1"/>
  <c r="J9" i="1"/>
  <c r="O47" i="36"/>
  <c r="G16" i="39"/>
  <c r="AD41" i="36"/>
  <c r="D15" i="1"/>
  <c r="H15" i="1"/>
  <c r="J32" i="1"/>
  <c r="J35" i="1" s="1"/>
  <c r="I12" i="1"/>
  <c r="F50" i="38"/>
  <c r="F6" i="38" s="1"/>
  <c r="E28" i="39"/>
  <c r="E11" i="43" s="1"/>
  <c r="E35" i="43" s="1"/>
  <c r="H5" i="4"/>
  <c r="H30" i="4" s="1"/>
  <c r="AE35" i="36"/>
  <c r="I9" i="1"/>
  <c r="I15" i="1"/>
  <c r="G15" i="39"/>
  <c r="G6" i="43" s="1"/>
  <c r="G34" i="43" s="1"/>
  <c r="D33" i="39"/>
  <c r="D36" i="39" s="1"/>
  <c r="E5" i="4"/>
  <c r="E30" i="4" s="1"/>
  <c r="I5" i="4"/>
  <c r="I30" i="4" s="1"/>
  <c r="I32" i="1"/>
  <c r="I35" i="1" s="1"/>
  <c r="O36" i="4"/>
  <c r="O42" i="4" s="1"/>
  <c r="O71" i="4"/>
  <c r="K36" i="4"/>
  <c r="K71" i="4"/>
  <c r="N36" i="4"/>
  <c r="N42" i="4" s="1"/>
  <c r="N71" i="4"/>
  <c r="P36" i="4"/>
  <c r="P37" i="4" s="1"/>
  <c r="P71" i="4"/>
  <c r="M36" i="4"/>
  <c r="M71" i="4"/>
  <c r="J36" i="4"/>
  <c r="J71" i="4"/>
  <c r="G29" i="39"/>
  <c r="D48" i="32"/>
  <c r="D49" i="32" s="1"/>
  <c r="I26" i="49" s="1"/>
  <c r="Q49" i="49" l="1"/>
  <c r="Q51" i="49" s="1"/>
  <c r="Q78" i="49" s="1"/>
  <c r="Q79" i="49" s="1"/>
  <c r="R49" i="49"/>
  <c r="R51" i="49" s="1"/>
  <c r="R53" i="49" s="1"/>
  <c r="K78" i="49"/>
  <c r="K79" i="49" s="1"/>
  <c r="K53" i="49"/>
  <c r="O53" i="49"/>
  <c r="O78" i="49"/>
  <c r="O79" i="49" s="1"/>
  <c r="D51" i="49"/>
  <c r="D53" i="49" s="1"/>
  <c r="P51" i="49"/>
  <c r="P78" i="49" s="1"/>
  <c r="P79" i="49" s="1"/>
  <c r="G48" i="49"/>
  <c r="G49" i="49" s="1"/>
  <c r="Q47" i="4"/>
  <c r="Q49" i="4" s="1"/>
  <c r="M48" i="49"/>
  <c r="M49" i="49" s="1"/>
  <c r="N78" i="49"/>
  <c r="N79" i="49" s="1"/>
  <c r="N53" i="49"/>
  <c r="E51" i="49"/>
  <c r="E53" i="49" s="1"/>
  <c r="F51" i="49"/>
  <c r="F78" i="49" s="1"/>
  <c r="F79" i="49" s="1"/>
  <c r="L48" i="49"/>
  <c r="L49" i="49" s="1"/>
  <c r="H48" i="49"/>
  <c r="H49" i="49" s="1"/>
  <c r="J51" i="49"/>
  <c r="J53" i="49" s="1"/>
  <c r="D11" i="32"/>
  <c r="D14" i="32" s="1"/>
  <c r="I27" i="46"/>
  <c r="L19" i="4"/>
  <c r="R20" i="49"/>
  <c r="Q20" i="49"/>
  <c r="Q19" i="4"/>
  <c r="R19" i="4"/>
  <c r="H20" i="49"/>
  <c r="O20" i="49"/>
  <c r="P20" i="49"/>
  <c r="G20" i="49"/>
  <c r="D20" i="49"/>
  <c r="K20" i="49"/>
  <c r="L20" i="49"/>
  <c r="E20" i="49"/>
  <c r="F20" i="49"/>
  <c r="M20" i="49"/>
  <c r="N20" i="49"/>
  <c r="J20" i="49"/>
  <c r="O26" i="49"/>
  <c r="O27" i="49" s="1"/>
  <c r="K26" i="49"/>
  <c r="K27" i="49" s="1"/>
  <c r="G26" i="49"/>
  <c r="G27" i="49" s="1"/>
  <c r="R26" i="49"/>
  <c r="R27" i="49" s="1"/>
  <c r="N26" i="49"/>
  <c r="N27" i="49" s="1"/>
  <c r="J26" i="49"/>
  <c r="J27" i="49" s="1"/>
  <c r="F26" i="49"/>
  <c r="F27" i="49" s="1"/>
  <c r="Q26" i="49"/>
  <c r="Q27" i="49" s="1"/>
  <c r="M26" i="49"/>
  <c r="M27" i="49" s="1"/>
  <c r="I27" i="49"/>
  <c r="E26" i="49"/>
  <c r="E27" i="49" s="1"/>
  <c r="P26" i="49"/>
  <c r="P27" i="49" s="1"/>
  <c r="L26" i="49"/>
  <c r="L27" i="49" s="1"/>
  <c r="H26" i="49"/>
  <c r="H27" i="49" s="1"/>
  <c r="D26" i="49"/>
  <c r="D27" i="49" s="1"/>
  <c r="Q24" i="4"/>
  <c r="Q25" i="4" s="1"/>
  <c r="R24" i="4"/>
  <c r="R25" i="4" s="1"/>
  <c r="R44" i="4"/>
  <c r="R45" i="4" s="1"/>
  <c r="L47" i="4"/>
  <c r="L49" i="4" s="1"/>
  <c r="C19" i="39"/>
  <c r="C11" i="39"/>
  <c r="D8" i="4"/>
  <c r="C18" i="39"/>
  <c r="L24" i="4"/>
  <c r="L25" i="4" s="1"/>
  <c r="D24" i="4"/>
  <c r="D25" i="4" s="1"/>
  <c r="H32" i="36"/>
  <c r="I18" i="1"/>
  <c r="C56" i="36"/>
  <c r="D71" i="4"/>
  <c r="D9" i="39"/>
  <c r="D21" i="1"/>
  <c r="E32" i="36"/>
  <c r="C12" i="1"/>
  <c r="C12" i="39"/>
  <c r="D7" i="4" s="1"/>
  <c r="AH26" i="36"/>
  <c r="E8" i="43"/>
  <c r="E31" i="43" s="1"/>
  <c r="E19" i="39"/>
  <c r="E29" i="39"/>
  <c r="H9" i="39"/>
  <c r="AG33" i="36"/>
  <c r="D46" i="36"/>
  <c r="E70" i="43"/>
  <c r="G8" i="43"/>
  <c r="G19" i="39"/>
  <c r="J15" i="1"/>
  <c r="U7" i="36"/>
  <c r="W7" i="36" s="1"/>
  <c r="W8" i="36" s="1"/>
  <c r="J42" i="4"/>
  <c r="J44" i="4" s="1"/>
  <c r="J45" i="4" s="1"/>
  <c r="J37" i="4"/>
  <c r="P42" i="4"/>
  <c r="P44" i="4" s="1"/>
  <c r="P45" i="4" s="1"/>
  <c r="K42" i="4"/>
  <c r="K44" i="4" s="1"/>
  <c r="K45" i="4" s="1"/>
  <c r="K37" i="4"/>
  <c r="M37" i="4"/>
  <c r="D6" i="43"/>
  <c r="D34" i="43" s="1"/>
  <c r="L44" i="43"/>
  <c r="L45" i="43" s="1"/>
  <c r="K19" i="43"/>
  <c r="J19" i="43"/>
  <c r="N19" i="43"/>
  <c r="L19" i="43"/>
  <c r="I19" i="43"/>
  <c r="M19" i="43"/>
  <c r="J39" i="43"/>
  <c r="J40" i="43"/>
  <c r="J47" i="43"/>
  <c r="J41" i="43"/>
  <c r="G43" i="43"/>
  <c r="G70" i="43"/>
  <c r="G9" i="43"/>
  <c r="D32" i="1"/>
  <c r="D35" i="1" s="1"/>
  <c r="F34" i="36"/>
  <c r="C28" i="39" s="1"/>
  <c r="G69" i="43"/>
  <c r="I39" i="43"/>
  <c r="I41" i="43"/>
  <c r="I40" i="43"/>
  <c r="I47" i="43"/>
  <c r="M24" i="43"/>
  <c r="M25" i="43" s="1"/>
  <c r="J24" i="43"/>
  <c r="J25" i="43" s="1"/>
  <c r="L24" i="43"/>
  <c r="L25" i="43" s="1"/>
  <c r="I24" i="43"/>
  <c r="I25" i="43" s="1"/>
  <c r="E24" i="43"/>
  <c r="E25" i="43" s="1"/>
  <c r="K24" i="43"/>
  <c r="K25" i="43" s="1"/>
  <c r="H24" i="43"/>
  <c r="H25" i="43" s="1"/>
  <c r="D24" i="43"/>
  <c r="D25" i="43" s="1"/>
  <c r="N24" i="43"/>
  <c r="N25" i="43" s="1"/>
  <c r="G24" i="43"/>
  <c r="G25" i="43" s="1"/>
  <c r="G36" i="43"/>
  <c r="G71" i="43"/>
  <c r="E6" i="43"/>
  <c r="E34" i="43" s="1"/>
  <c r="K41" i="43"/>
  <c r="K47" i="43"/>
  <c r="K40" i="43"/>
  <c r="K39" i="43"/>
  <c r="K44" i="43"/>
  <c r="K45" i="43" s="1"/>
  <c r="M40" i="43"/>
  <c r="M47" i="43"/>
  <c r="M41" i="43"/>
  <c r="M39" i="43"/>
  <c r="M44" i="43"/>
  <c r="M45" i="43" s="1"/>
  <c r="L41" i="43"/>
  <c r="L40" i="43"/>
  <c r="L47" i="43"/>
  <c r="L39" i="43"/>
  <c r="G31" i="43"/>
  <c r="F35" i="43"/>
  <c r="E9" i="43"/>
  <c r="I42" i="43"/>
  <c r="I44" i="43" s="1"/>
  <c r="I45" i="43" s="1"/>
  <c r="J42" i="43"/>
  <c r="J44" i="43" s="1"/>
  <c r="J45" i="43" s="1"/>
  <c r="N41" i="43"/>
  <c r="N47" i="43"/>
  <c r="N39" i="43"/>
  <c r="N40" i="43"/>
  <c r="N44" i="43"/>
  <c r="N45" i="43" s="1"/>
  <c r="J19" i="4"/>
  <c r="N19" i="4"/>
  <c r="K19" i="4"/>
  <c r="M19" i="4"/>
  <c r="P19" i="4"/>
  <c r="O19" i="4"/>
  <c r="H6" i="4"/>
  <c r="H34" i="4" s="1"/>
  <c r="F9" i="1"/>
  <c r="F9" i="39"/>
  <c r="L56" i="36"/>
  <c r="O56" i="36" s="1"/>
  <c r="F21" i="1"/>
  <c r="F22" i="39"/>
  <c r="F24" i="43" s="1"/>
  <c r="F25" i="43" s="1"/>
  <c r="F52" i="36"/>
  <c r="F54" i="36" s="1"/>
  <c r="F57" i="36" s="1"/>
  <c r="F58" i="36" s="1"/>
  <c r="F59" i="36" s="1"/>
  <c r="D57" i="36"/>
  <c r="D16" i="1"/>
  <c r="D16" i="39"/>
  <c r="I32" i="36"/>
  <c r="H8" i="4"/>
  <c r="G18" i="39"/>
  <c r="G11" i="39"/>
  <c r="F12" i="1"/>
  <c r="F12" i="39"/>
  <c r="D12" i="39"/>
  <c r="D7" i="43" s="1"/>
  <c r="D12" i="1"/>
  <c r="E12" i="39"/>
  <c r="E7" i="43" s="1"/>
  <c r="E12" i="1"/>
  <c r="G46" i="36"/>
  <c r="G43" i="36"/>
  <c r="C25" i="39" s="1"/>
  <c r="C27" i="39" s="1"/>
  <c r="C25" i="1"/>
  <c r="F46" i="36"/>
  <c r="G6" i="4"/>
  <c r="G34" i="4" s="1"/>
  <c r="C18" i="1"/>
  <c r="C11" i="1"/>
  <c r="M53" i="36"/>
  <c r="P53" i="36" s="1"/>
  <c r="F16" i="39"/>
  <c r="F16" i="1"/>
  <c r="M52" i="36"/>
  <c r="R33" i="36"/>
  <c r="AH33" i="36"/>
  <c r="AD53" i="36"/>
  <c r="AG53" i="36" s="1"/>
  <c r="J16" i="1"/>
  <c r="AD52" i="36"/>
  <c r="H16" i="39"/>
  <c r="I6" i="4"/>
  <c r="I34" i="4" s="1"/>
  <c r="F6" i="4"/>
  <c r="F34" i="4" s="1"/>
  <c r="D26" i="39"/>
  <c r="D25" i="1"/>
  <c r="F28" i="1"/>
  <c r="M43" i="36"/>
  <c r="P43" i="36" s="1"/>
  <c r="P41" i="36"/>
  <c r="N24" i="4"/>
  <c r="N25" i="4" s="1"/>
  <c r="M24" i="4"/>
  <c r="M25" i="4" s="1"/>
  <c r="K24" i="4"/>
  <c r="K25" i="4" s="1"/>
  <c r="J24" i="4"/>
  <c r="J25" i="4" s="1"/>
  <c r="P24" i="4"/>
  <c r="P25" i="4" s="1"/>
  <c r="O24" i="4"/>
  <c r="O25" i="4" s="1"/>
  <c r="H28" i="39"/>
  <c r="H11" i="43" s="1"/>
  <c r="J27" i="1"/>
  <c r="F11" i="4"/>
  <c r="F35" i="4" s="1"/>
  <c r="AD43" i="36"/>
  <c r="AF43" i="36" s="1"/>
  <c r="AF41" i="36"/>
  <c r="H12" i="39"/>
  <c r="H7" i="43" s="1"/>
  <c r="J12" i="1"/>
  <c r="D14" i="14"/>
  <c r="F14" i="14"/>
  <c r="C18" i="14"/>
  <c r="D18" i="14" s="1"/>
  <c r="G16" i="1"/>
  <c r="G28" i="1" s="1"/>
  <c r="V42" i="36"/>
  <c r="X42" i="36" s="1"/>
  <c r="V41" i="36"/>
  <c r="Z26" i="36"/>
  <c r="V33" i="36"/>
  <c r="G11" i="4"/>
  <c r="G35" i="4" s="1"/>
  <c r="E6" i="4"/>
  <c r="E34" i="4" s="1"/>
  <c r="E11" i="1"/>
  <c r="E18" i="1"/>
  <c r="F8" i="4"/>
  <c r="F31" i="4" s="1"/>
  <c r="E18" i="39"/>
  <c r="E11" i="39"/>
  <c r="M41" i="4"/>
  <c r="M39" i="4"/>
  <c r="M40" i="4"/>
  <c r="N47" i="4"/>
  <c r="N41" i="4"/>
  <c r="N40" i="4"/>
  <c r="N39" i="4"/>
  <c r="N44" i="4"/>
  <c r="N45" i="4" s="1"/>
  <c r="N72" i="4" s="1"/>
  <c r="N73" i="4" s="1"/>
  <c r="O44" i="4"/>
  <c r="O45" i="4" s="1"/>
  <c r="J39" i="4"/>
  <c r="J41" i="4"/>
  <c r="J40" i="4"/>
  <c r="P41" i="4"/>
  <c r="P40" i="4"/>
  <c r="P39" i="4"/>
  <c r="K47" i="4"/>
  <c r="K39" i="4"/>
  <c r="K41" i="4"/>
  <c r="K40" i="4"/>
  <c r="M42" i="4"/>
  <c r="M44" i="4" s="1"/>
  <c r="M45" i="4" s="1"/>
  <c r="M47" i="4" s="1"/>
  <c r="O47" i="4"/>
  <c r="O41" i="4"/>
  <c r="O40" i="4"/>
  <c r="O39" i="4"/>
  <c r="E24" i="4"/>
  <c r="E25" i="4" s="1"/>
  <c r="G24" i="4"/>
  <c r="G25" i="4" s="1"/>
  <c r="I24" i="4"/>
  <c r="I25" i="4" s="1"/>
  <c r="F24" i="4"/>
  <c r="F25" i="4" s="1"/>
  <c r="H24" i="4"/>
  <c r="H25" i="4" s="1"/>
  <c r="Q72" i="4" l="1"/>
  <c r="F7" i="43"/>
  <c r="G7" i="49"/>
  <c r="P53" i="49"/>
  <c r="P64" i="49" s="1"/>
  <c r="E78" i="49"/>
  <c r="E79" i="49" s="1"/>
  <c r="J78" i="49"/>
  <c r="J79" i="49" s="1"/>
  <c r="F53" i="49"/>
  <c r="F55" i="49" s="1"/>
  <c r="R78" i="49"/>
  <c r="R79" i="49" s="1"/>
  <c r="D78" i="49"/>
  <c r="D79" i="49" s="1"/>
  <c r="D15" i="32"/>
  <c r="D16" i="32" s="1"/>
  <c r="H51" i="49"/>
  <c r="H78" i="49" s="1"/>
  <c r="H79" i="49" s="1"/>
  <c r="N64" i="49"/>
  <c r="N55" i="49"/>
  <c r="R47" i="4"/>
  <c r="R49" i="4" s="1"/>
  <c r="R72" i="4"/>
  <c r="Q51" i="4"/>
  <c r="Q60" i="4"/>
  <c r="R64" i="49"/>
  <c r="R55" i="49"/>
  <c r="D64" i="49"/>
  <c r="D55" i="49"/>
  <c r="L51" i="49"/>
  <c r="L78" i="49" s="1"/>
  <c r="L79" i="49" s="1"/>
  <c r="M51" i="49"/>
  <c r="M53" i="49" s="1"/>
  <c r="G51" i="49"/>
  <c r="G78" i="49" s="1"/>
  <c r="G79" i="49" s="1"/>
  <c r="K55" i="49"/>
  <c r="K64" i="49"/>
  <c r="J64" i="49"/>
  <c r="J55" i="49"/>
  <c r="E64" i="49"/>
  <c r="E55" i="49"/>
  <c r="E59" i="49"/>
  <c r="O64" i="49"/>
  <c r="O55" i="49"/>
  <c r="D11" i="4"/>
  <c r="D35" i="4" s="1"/>
  <c r="C29" i="39"/>
  <c r="L60" i="4"/>
  <c r="L51" i="4"/>
  <c r="D43" i="4"/>
  <c r="D9" i="4"/>
  <c r="D31" i="4"/>
  <c r="D69" i="4"/>
  <c r="L72" i="4"/>
  <c r="L73" i="4" s="1"/>
  <c r="E43" i="43"/>
  <c r="E69" i="43"/>
  <c r="K72" i="4"/>
  <c r="K73" i="4" s="1"/>
  <c r="D8" i="43"/>
  <c r="D19" i="39"/>
  <c r="H8" i="43"/>
  <c r="H71" i="43" s="1"/>
  <c r="H19" i="39"/>
  <c r="F8" i="43"/>
  <c r="F19" i="39"/>
  <c r="J47" i="4"/>
  <c r="J72" i="4" s="1"/>
  <c r="J73" i="4" s="1"/>
  <c r="P47" i="4"/>
  <c r="P72" i="4" s="1"/>
  <c r="P73" i="4" s="1"/>
  <c r="K49" i="43"/>
  <c r="K51" i="43" s="1"/>
  <c r="F6" i="43"/>
  <c r="F34" i="43" s="1"/>
  <c r="F36" i="43" s="1"/>
  <c r="N72" i="43"/>
  <c r="N73" i="43" s="1"/>
  <c r="L72" i="43"/>
  <c r="L73" i="43" s="1"/>
  <c r="I72" i="43"/>
  <c r="I73" i="43" s="1"/>
  <c r="I49" i="43"/>
  <c r="M72" i="43"/>
  <c r="M73" i="43" s="1"/>
  <c r="M49" i="43"/>
  <c r="J72" i="43"/>
  <c r="J73" i="43" s="1"/>
  <c r="J49" i="43"/>
  <c r="D25" i="39"/>
  <c r="D27" i="39" s="1"/>
  <c r="H43" i="43"/>
  <c r="F43" i="43"/>
  <c r="F9" i="43"/>
  <c r="F69" i="43"/>
  <c r="F31" i="43"/>
  <c r="E36" i="43"/>
  <c r="E71" i="43"/>
  <c r="G40" i="43"/>
  <c r="G41" i="43"/>
  <c r="G39" i="43"/>
  <c r="G47" i="43"/>
  <c r="G42" i="43"/>
  <c r="G44" i="43" s="1"/>
  <c r="G45" i="43" s="1"/>
  <c r="F70" i="43"/>
  <c r="H35" i="43"/>
  <c r="H36" i="43" s="1"/>
  <c r="D24" i="1"/>
  <c r="D26" i="1" s="1"/>
  <c r="D9" i="43"/>
  <c r="D43" i="43"/>
  <c r="D31" i="43"/>
  <c r="D69" i="43"/>
  <c r="N49" i="43"/>
  <c r="E10" i="43"/>
  <c r="E19" i="43" s="1"/>
  <c r="D71" i="43"/>
  <c r="L49" i="43"/>
  <c r="K72" i="43"/>
  <c r="K73" i="43" s="1"/>
  <c r="D27" i="1"/>
  <c r="C27" i="1"/>
  <c r="C28" i="1" s="1"/>
  <c r="D28" i="39"/>
  <c r="G10" i="43"/>
  <c r="G19" i="43" s="1"/>
  <c r="F70" i="4"/>
  <c r="I7" i="4"/>
  <c r="D18" i="1"/>
  <c r="D11" i="1"/>
  <c r="H71" i="4"/>
  <c r="H36" i="4"/>
  <c r="X41" i="36"/>
  <c r="X46" i="36" s="1"/>
  <c r="V43" i="36"/>
  <c r="X43" i="36" s="1"/>
  <c r="AF46" i="36"/>
  <c r="J28" i="1"/>
  <c r="P46" i="36"/>
  <c r="D28" i="1"/>
  <c r="F25" i="1"/>
  <c r="O57" i="36"/>
  <c r="F26" i="39"/>
  <c r="F71" i="4"/>
  <c r="F36" i="4"/>
  <c r="J18" i="1"/>
  <c r="J11" i="1"/>
  <c r="G8" i="4"/>
  <c r="G70" i="4" s="1"/>
  <c r="F18" i="39"/>
  <c r="F11" i="39"/>
  <c r="F29" i="39"/>
  <c r="F7" i="4"/>
  <c r="H9" i="4"/>
  <c r="H70" i="4"/>
  <c r="H43" i="4"/>
  <c r="H31" i="4"/>
  <c r="H10" i="4"/>
  <c r="H19" i="4" s="1"/>
  <c r="H69" i="4"/>
  <c r="I11" i="4"/>
  <c r="I35" i="4" s="1"/>
  <c r="I36" i="4" s="1"/>
  <c r="H29" i="39"/>
  <c r="I8" i="4"/>
  <c r="H18" i="39"/>
  <c r="H11" i="39"/>
  <c r="P52" i="36"/>
  <c r="M54" i="36"/>
  <c r="P54" i="36" s="1"/>
  <c r="G36" i="4"/>
  <c r="G47" i="36"/>
  <c r="G48" i="36" s="1"/>
  <c r="C24" i="1"/>
  <c r="C26" i="1" s="1"/>
  <c r="E7" i="4"/>
  <c r="F43" i="4"/>
  <c r="F9" i="4"/>
  <c r="Z33" i="36"/>
  <c r="H16" i="1"/>
  <c r="G18" i="1"/>
  <c r="G11" i="1"/>
  <c r="AD54" i="36"/>
  <c r="AG54" i="36" s="1"/>
  <c r="AG52" i="36"/>
  <c r="F18" i="1"/>
  <c r="F11" i="1"/>
  <c r="F47" i="36"/>
  <c r="F48" i="36" s="1"/>
  <c r="G7" i="4"/>
  <c r="E8" i="4"/>
  <c r="E71" i="4" s="1"/>
  <c r="D18" i="39"/>
  <c r="D11" i="39"/>
  <c r="F69" i="4"/>
  <c r="M72" i="4"/>
  <c r="M73" i="4" s="1"/>
  <c r="M49" i="4"/>
  <c r="O72" i="4"/>
  <c r="O73" i="4" s="1"/>
  <c r="O49" i="4"/>
  <c r="K49" i="4"/>
  <c r="N49" i="4"/>
  <c r="P55" i="49" l="1"/>
  <c r="F59" i="49"/>
  <c r="L53" i="49"/>
  <c r="L55" i="49" s="1"/>
  <c r="F64" i="49"/>
  <c r="K18" i="4"/>
  <c r="K20" i="4" s="1"/>
  <c r="K21" i="4" s="1"/>
  <c r="K65" i="4" s="1"/>
  <c r="K66" i="4" s="1"/>
  <c r="N19" i="49"/>
  <c r="N21" i="49" s="1"/>
  <c r="N22" i="49" s="1"/>
  <c r="N71" i="49" s="1"/>
  <c r="N72" i="49" s="1"/>
  <c r="Q19" i="49"/>
  <c r="Q21" i="49" s="1"/>
  <c r="Q22" i="49" s="1"/>
  <c r="Q71" i="49" s="1"/>
  <c r="Q72" i="49" s="1"/>
  <c r="M18" i="4"/>
  <c r="M20" i="4" s="1"/>
  <c r="M61" i="4" s="1"/>
  <c r="D18" i="43"/>
  <c r="E18" i="43"/>
  <c r="E20" i="43" s="1"/>
  <c r="E21" i="43" s="1"/>
  <c r="F18" i="4"/>
  <c r="F18" i="43"/>
  <c r="D18" i="4"/>
  <c r="P18" i="4"/>
  <c r="P20" i="4" s="1"/>
  <c r="P21" i="4" s="1"/>
  <c r="I18" i="43"/>
  <c r="I20" i="43" s="1"/>
  <c r="I59" i="43" s="1"/>
  <c r="E19" i="49"/>
  <c r="E21" i="49" s="1"/>
  <c r="E63" i="49" s="1"/>
  <c r="L18" i="4"/>
  <c r="L20" i="4" s="1"/>
  <c r="L61" i="4" s="1"/>
  <c r="J18" i="4"/>
  <c r="J20" i="4" s="1"/>
  <c r="J59" i="4" s="1"/>
  <c r="P19" i="49"/>
  <c r="P21" i="49" s="1"/>
  <c r="P65" i="49" s="1"/>
  <c r="H18" i="4"/>
  <c r="H20" i="4" s="1"/>
  <c r="H21" i="4" s="1"/>
  <c r="L18" i="43"/>
  <c r="L20" i="43" s="1"/>
  <c r="L59" i="43" s="1"/>
  <c r="G18" i="43"/>
  <c r="G20" i="43" s="1"/>
  <c r="G59" i="43" s="1"/>
  <c r="D19" i="49"/>
  <c r="D21" i="49" s="1"/>
  <c r="D65" i="49" s="1"/>
  <c r="Q18" i="4"/>
  <c r="Q20" i="4" s="1"/>
  <c r="Q21" i="4" s="1"/>
  <c r="Q65" i="4" s="1"/>
  <c r="Q66" i="4" s="1"/>
  <c r="L19" i="49"/>
  <c r="L21" i="49" s="1"/>
  <c r="L22" i="49" s="1"/>
  <c r="M18" i="43"/>
  <c r="M20" i="43" s="1"/>
  <c r="M21" i="43" s="1"/>
  <c r="M65" i="43" s="1"/>
  <c r="M66" i="43" s="1"/>
  <c r="N18" i="43"/>
  <c r="N20" i="43" s="1"/>
  <c r="N59" i="43" s="1"/>
  <c r="O18" i="4"/>
  <c r="O20" i="4" s="1"/>
  <c r="O59" i="4" s="1"/>
  <c r="N18" i="4"/>
  <c r="N20" i="4" s="1"/>
  <c r="N59" i="4" s="1"/>
  <c r="F19" i="49"/>
  <c r="F21" i="49" s="1"/>
  <c r="F22" i="49" s="1"/>
  <c r="H19" i="49"/>
  <c r="H21" i="49" s="1"/>
  <c r="H63" i="49" s="1"/>
  <c r="R18" i="4"/>
  <c r="R20" i="4" s="1"/>
  <c r="R21" i="4" s="1"/>
  <c r="R65" i="4" s="1"/>
  <c r="R66" i="4" s="1"/>
  <c r="G19" i="49"/>
  <c r="G21" i="49" s="1"/>
  <c r="G22" i="49" s="1"/>
  <c r="J18" i="43"/>
  <c r="J20" i="43" s="1"/>
  <c r="J61" i="43" s="1"/>
  <c r="K18" i="43"/>
  <c r="K20" i="43" s="1"/>
  <c r="K61" i="43" s="1"/>
  <c r="R19" i="49"/>
  <c r="R21" i="49" s="1"/>
  <c r="R65" i="49" s="1"/>
  <c r="M19" i="49"/>
  <c r="M21" i="49" s="1"/>
  <c r="M22" i="49" s="1"/>
  <c r="M71" i="49" s="1"/>
  <c r="M72" i="49" s="1"/>
  <c r="J19" i="49"/>
  <c r="J21" i="49" s="1"/>
  <c r="J65" i="49" s="1"/>
  <c r="K19" i="49"/>
  <c r="K21" i="49" s="1"/>
  <c r="K65" i="49" s="1"/>
  <c r="O19" i="49"/>
  <c r="O21" i="49" s="1"/>
  <c r="O22" i="49" s="1"/>
  <c r="O71" i="49" s="1"/>
  <c r="O72" i="49" s="1"/>
  <c r="M78" i="49"/>
  <c r="M79" i="49" s="1"/>
  <c r="H53" i="49"/>
  <c r="M55" i="49"/>
  <c r="M64" i="49"/>
  <c r="G53" i="49"/>
  <c r="R51" i="4"/>
  <c r="R60" i="4"/>
  <c r="H69" i="43"/>
  <c r="D70" i="4"/>
  <c r="D36" i="4"/>
  <c r="J49" i="4"/>
  <c r="H9" i="43"/>
  <c r="H18" i="43" s="1"/>
  <c r="D10" i="4"/>
  <c r="D19" i="4" s="1"/>
  <c r="H31" i="43"/>
  <c r="G71" i="4"/>
  <c r="H70" i="43"/>
  <c r="P49" i="4"/>
  <c r="K60" i="43"/>
  <c r="F37" i="4"/>
  <c r="H37" i="4"/>
  <c r="G37" i="4"/>
  <c r="I37" i="4"/>
  <c r="F71" i="43"/>
  <c r="F10" i="43"/>
  <c r="F19" i="43" s="1"/>
  <c r="G72" i="43"/>
  <c r="G73" i="43" s="1"/>
  <c r="G49" i="43"/>
  <c r="L51" i="43"/>
  <c r="L60" i="43"/>
  <c r="H40" i="43"/>
  <c r="H39" i="43"/>
  <c r="H41" i="43"/>
  <c r="H47" i="43"/>
  <c r="H42" i="43"/>
  <c r="M51" i="43"/>
  <c r="M60" i="43"/>
  <c r="D11" i="43"/>
  <c r="D35" i="43" s="1"/>
  <c r="E11" i="4"/>
  <c r="E35" i="4" s="1"/>
  <c r="E36" i="4" s="1"/>
  <c r="E40" i="4" s="1"/>
  <c r="D29" i="39"/>
  <c r="P57" i="36"/>
  <c r="AG57" i="36"/>
  <c r="D10" i="43"/>
  <c r="D19" i="43" s="1"/>
  <c r="F39" i="43"/>
  <c r="F40" i="43"/>
  <c r="F47" i="43"/>
  <c r="F41" i="43"/>
  <c r="F42" i="43"/>
  <c r="E41" i="43"/>
  <c r="E40" i="43"/>
  <c r="E47" i="43"/>
  <c r="E39" i="43"/>
  <c r="E42" i="43"/>
  <c r="J60" i="43"/>
  <c r="J51" i="43"/>
  <c r="I60" i="43"/>
  <c r="I51" i="43"/>
  <c r="N51" i="43"/>
  <c r="N60" i="43"/>
  <c r="F25" i="39"/>
  <c r="F27" i="39" s="1"/>
  <c r="F24" i="1"/>
  <c r="F26" i="1" s="1"/>
  <c r="P58" i="36"/>
  <c r="P59" i="36" s="1"/>
  <c r="I9" i="4"/>
  <c r="I18" i="4" s="1"/>
  <c r="I43" i="4"/>
  <c r="I31" i="4"/>
  <c r="I69" i="4"/>
  <c r="I71" i="4"/>
  <c r="P47" i="36"/>
  <c r="P48" i="36" s="1"/>
  <c r="Q48" i="36" s="1"/>
  <c r="E25" i="39"/>
  <c r="E27" i="39" s="1"/>
  <c r="E24" i="1"/>
  <c r="E26" i="1" s="1"/>
  <c r="X47" i="36"/>
  <c r="X48" i="36" s="1"/>
  <c r="G24" i="1"/>
  <c r="H11" i="1"/>
  <c r="H18" i="1"/>
  <c r="H28" i="1"/>
  <c r="G40" i="4"/>
  <c r="G41" i="4"/>
  <c r="G42" i="4"/>
  <c r="G39" i="4"/>
  <c r="G43" i="4"/>
  <c r="G69" i="4"/>
  <c r="G9" i="4"/>
  <c r="G18" i="4" s="1"/>
  <c r="G31" i="4"/>
  <c r="F42" i="4"/>
  <c r="F44" i="4" s="1"/>
  <c r="F45" i="4" s="1"/>
  <c r="F47" i="4" s="1"/>
  <c r="F40" i="4"/>
  <c r="F41" i="4"/>
  <c r="F39" i="4"/>
  <c r="H39" i="4"/>
  <c r="H42" i="4"/>
  <c r="H44" i="4" s="1"/>
  <c r="H45" i="4" s="1"/>
  <c r="H47" i="4" s="1"/>
  <c r="H41" i="4"/>
  <c r="H40" i="4"/>
  <c r="E9" i="4"/>
  <c r="E18" i="4" s="1"/>
  <c r="E69" i="4"/>
  <c r="E31" i="4"/>
  <c r="E43" i="4"/>
  <c r="H25" i="39"/>
  <c r="J24" i="1"/>
  <c r="AG58" i="36"/>
  <c r="AG59" i="36" s="1"/>
  <c r="I24" i="1"/>
  <c r="G25" i="39"/>
  <c r="AF47" i="36"/>
  <c r="AF48" i="36" s="1"/>
  <c r="I40" i="4"/>
  <c r="I39" i="4"/>
  <c r="I42" i="4"/>
  <c r="I41" i="4"/>
  <c r="I70" i="4"/>
  <c r="O58" i="36"/>
  <c r="O59" i="36" s="1"/>
  <c r="F10" i="4"/>
  <c r="F19" i="4" s="1"/>
  <c r="O60" i="4"/>
  <c r="O51" i="4"/>
  <c r="N51" i="4"/>
  <c r="N60" i="4"/>
  <c r="J60" i="4"/>
  <c r="M51" i="4"/>
  <c r="M60" i="4"/>
  <c r="K60" i="4"/>
  <c r="K51" i="4"/>
  <c r="L64" i="49" l="1"/>
  <c r="L71" i="49"/>
  <c r="L72" i="49" s="1"/>
  <c r="N61" i="4"/>
  <c r="M61" i="43"/>
  <c r="J61" i="4"/>
  <c r="J21" i="43"/>
  <c r="J65" i="43" s="1"/>
  <c r="J66" i="43" s="1"/>
  <c r="P61" i="4"/>
  <c r="N65" i="49"/>
  <c r="J21" i="4"/>
  <c r="J65" i="4" s="1"/>
  <c r="J66" i="4" s="1"/>
  <c r="J59" i="43"/>
  <c r="N63" i="49"/>
  <c r="J22" i="49"/>
  <c r="J71" i="49" s="1"/>
  <c r="J72" i="49" s="1"/>
  <c r="F65" i="49"/>
  <c r="Q61" i="4"/>
  <c r="P59" i="4"/>
  <c r="F63" i="49"/>
  <c r="J63" i="49"/>
  <c r="K21" i="43"/>
  <c r="K65" i="43" s="1"/>
  <c r="K66" i="43" s="1"/>
  <c r="M59" i="43"/>
  <c r="M65" i="49"/>
  <c r="L63" i="49"/>
  <c r="L21" i="43"/>
  <c r="L65" i="43" s="1"/>
  <c r="L66" i="43" s="1"/>
  <c r="D20" i="43"/>
  <c r="D21" i="43" s="1"/>
  <c r="K22" i="49"/>
  <c r="K71" i="49" s="1"/>
  <c r="K72" i="49" s="1"/>
  <c r="G63" i="49"/>
  <c r="N61" i="43"/>
  <c r="F20" i="4"/>
  <c r="F21" i="4" s="1"/>
  <c r="M59" i="4"/>
  <c r="M21" i="4"/>
  <c r="M65" i="4" s="1"/>
  <c r="M66" i="4" s="1"/>
  <c r="Q63" i="49"/>
  <c r="K61" i="4"/>
  <c r="N21" i="4"/>
  <c r="N65" i="4" s="1"/>
  <c r="N66" i="4" s="1"/>
  <c r="N21" i="43"/>
  <c r="N65" i="43" s="1"/>
  <c r="N66" i="43" s="1"/>
  <c r="I61" i="43"/>
  <c r="Q65" i="49"/>
  <c r="M63" i="49"/>
  <c r="P63" i="49"/>
  <c r="D22" i="49"/>
  <c r="D71" i="49" s="1"/>
  <c r="D72" i="49" s="1"/>
  <c r="G65" i="49"/>
  <c r="K59" i="4"/>
  <c r="H22" i="49"/>
  <c r="H71" i="49" s="1"/>
  <c r="H72" i="49" s="1"/>
  <c r="L65" i="49"/>
  <c r="E65" i="49"/>
  <c r="Q59" i="4"/>
  <c r="E22" i="49"/>
  <c r="E71" i="49" s="1"/>
  <c r="E72" i="49" s="1"/>
  <c r="F20" i="43"/>
  <c r="F59" i="43" s="1"/>
  <c r="L61" i="43"/>
  <c r="K59" i="43"/>
  <c r="I21" i="43"/>
  <c r="I65" i="43" s="1"/>
  <c r="I66" i="43" s="1"/>
  <c r="D20" i="4"/>
  <c r="D59" i="4" s="1"/>
  <c r="K63" i="49"/>
  <c r="L21" i="4"/>
  <c r="L65" i="4" s="1"/>
  <c r="L66" i="4" s="1"/>
  <c r="P22" i="49"/>
  <c r="P71" i="49" s="1"/>
  <c r="P72" i="49" s="1"/>
  <c r="D63" i="49"/>
  <c r="L59" i="4"/>
  <c r="H65" i="49"/>
  <c r="R22" i="49"/>
  <c r="R71" i="49" s="1"/>
  <c r="R72" i="49" s="1"/>
  <c r="R61" i="4"/>
  <c r="O63" i="49"/>
  <c r="O61" i="4"/>
  <c r="O21" i="4"/>
  <c r="O65" i="4" s="1"/>
  <c r="O66" i="4" s="1"/>
  <c r="R59" i="4"/>
  <c r="R63" i="49"/>
  <c r="O65" i="49"/>
  <c r="H59" i="4"/>
  <c r="H64" i="49"/>
  <c r="H55" i="49"/>
  <c r="J51" i="4"/>
  <c r="G55" i="49"/>
  <c r="G59" i="49"/>
  <c r="G64" i="49"/>
  <c r="E59" i="43"/>
  <c r="G21" i="43"/>
  <c r="G65" i="43" s="1"/>
  <c r="G66" i="43" s="1"/>
  <c r="G58" i="49"/>
  <c r="G60" i="49" s="1"/>
  <c r="G61" i="49" s="1"/>
  <c r="G71" i="49"/>
  <c r="G72" i="49" s="1"/>
  <c r="F58" i="49"/>
  <c r="F60" i="49" s="1"/>
  <c r="F61" i="49" s="1"/>
  <c r="F71" i="49"/>
  <c r="F72" i="49" s="1"/>
  <c r="G61" i="43"/>
  <c r="P51" i="4"/>
  <c r="P60" i="4"/>
  <c r="P65" i="4"/>
  <c r="P66" i="4" s="1"/>
  <c r="H10" i="43"/>
  <c r="H19" i="43" s="1"/>
  <c r="H20" i="43" s="1"/>
  <c r="H59" i="43" s="1"/>
  <c r="D41" i="4"/>
  <c r="D37" i="4"/>
  <c r="D40" i="4"/>
  <c r="D39" i="4"/>
  <c r="D42" i="4"/>
  <c r="D44" i="4" s="1"/>
  <c r="E41" i="4"/>
  <c r="E42" i="4"/>
  <c r="E70" i="4"/>
  <c r="E37" i="4"/>
  <c r="E39" i="4"/>
  <c r="E10" i="4"/>
  <c r="E19" i="4" s="1"/>
  <c r="E20" i="4" s="1"/>
  <c r="E21" i="4" s="1"/>
  <c r="E44" i="43"/>
  <c r="E45" i="43" s="1"/>
  <c r="Q59" i="36"/>
  <c r="F44" i="43"/>
  <c r="F45" i="43" s="1"/>
  <c r="E54" i="43"/>
  <c r="D70" i="43"/>
  <c r="D36" i="43"/>
  <c r="H44" i="43"/>
  <c r="H45" i="43" s="1"/>
  <c r="G60" i="43"/>
  <c r="G51" i="43"/>
  <c r="F72" i="4"/>
  <c r="F73" i="4" s="1"/>
  <c r="E75" i="43" s="1"/>
  <c r="G10" i="4"/>
  <c r="G19" i="4" s="1"/>
  <c r="G20" i="4" s="1"/>
  <c r="G59" i="4" s="1"/>
  <c r="I10" i="4"/>
  <c r="I19" i="4" s="1"/>
  <c r="I20" i="4" s="1"/>
  <c r="I21" i="4" s="1"/>
  <c r="F49" i="4"/>
  <c r="F51" i="4" s="1"/>
  <c r="I44" i="4"/>
  <c r="I45" i="4" s="1"/>
  <c r="I47" i="4" s="1"/>
  <c r="H49" i="4"/>
  <c r="H72" i="4"/>
  <c r="H73" i="4" s="1"/>
  <c r="G75" i="43" s="1"/>
  <c r="G76" i="43" s="1"/>
  <c r="G44" i="4"/>
  <c r="G45" i="4" s="1"/>
  <c r="G47" i="4" s="1"/>
  <c r="E44" i="4"/>
  <c r="E45" i="4" s="1"/>
  <c r="E47" i="4" s="1"/>
  <c r="F59" i="4" l="1"/>
  <c r="D59" i="43"/>
  <c r="E58" i="49"/>
  <c r="E60" i="49" s="1"/>
  <c r="E61" i="49" s="1"/>
  <c r="F21" i="43"/>
  <c r="F54" i="43" s="1"/>
  <c r="D21" i="4"/>
  <c r="H21" i="43"/>
  <c r="F61" i="4"/>
  <c r="D45" i="4"/>
  <c r="G21" i="4"/>
  <c r="G54" i="4" s="1"/>
  <c r="E59" i="4"/>
  <c r="E72" i="43"/>
  <c r="E73" i="43" s="1"/>
  <c r="E76" i="43" s="1"/>
  <c r="E49" i="43"/>
  <c r="H72" i="43"/>
  <c r="H73" i="43" s="1"/>
  <c r="H49" i="43"/>
  <c r="F72" i="43"/>
  <c r="F73" i="43" s="1"/>
  <c r="F49" i="43"/>
  <c r="D40" i="43"/>
  <c r="D39" i="43"/>
  <c r="D41" i="43"/>
  <c r="D47" i="43"/>
  <c r="D42" i="43"/>
  <c r="D44" i="43" s="1"/>
  <c r="D45" i="43" s="1"/>
  <c r="D54" i="43"/>
  <c r="I59" i="4"/>
  <c r="F60" i="4"/>
  <c r="F55" i="4"/>
  <c r="E49" i="4"/>
  <c r="E65" i="4" s="1"/>
  <c r="E66" i="4" s="1"/>
  <c r="E72" i="4"/>
  <c r="E73" i="4" s="1"/>
  <c r="D75" i="43" s="1"/>
  <c r="I49" i="4"/>
  <c r="I72" i="4"/>
  <c r="I73" i="4" s="1"/>
  <c r="H75" i="43" s="1"/>
  <c r="H51" i="4"/>
  <c r="H61" i="4"/>
  <c r="H60" i="4"/>
  <c r="H65" i="4"/>
  <c r="H66" i="4" s="1"/>
  <c r="G72" i="4"/>
  <c r="G73" i="4" s="1"/>
  <c r="F75" i="43" s="1"/>
  <c r="G49" i="4"/>
  <c r="E54" i="4"/>
  <c r="F54" i="4"/>
  <c r="F65" i="4"/>
  <c r="F66" i="4" s="1"/>
  <c r="D47" i="4" l="1"/>
  <c r="D72" i="4" s="1"/>
  <c r="D73" i="4" s="1"/>
  <c r="F56" i="4"/>
  <c r="F57" i="4" s="1"/>
  <c r="H76" i="43"/>
  <c r="F76" i="43"/>
  <c r="D72" i="43"/>
  <c r="D73" i="43" s="1"/>
  <c r="D76" i="43" s="1"/>
  <c r="D49" i="43"/>
  <c r="H65" i="43"/>
  <c r="H66" i="43" s="1"/>
  <c r="H51" i="43"/>
  <c r="H60" i="43"/>
  <c r="H61" i="43"/>
  <c r="F55" i="43"/>
  <c r="F56" i="43" s="1"/>
  <c r="F57" i="43" s="1"/>
  <c r="F51" i="43"/>
  <c r="F60" i="43"/>
  <c r="F61" i="43"/>
  <c r="F65" i="43"/>
  <c r="F66" i="43" s="1"/>
  <c r="E51" i="43"/>
  <c r="E60" i="43"/>
  <c r="E55" i="43"/>
  <c r="E56" i="43" s="1"/>
  <c r="E57" i="43" s="1"/>
  <c r="E61" i="43"/>
  <c r="E65" i="43"/>
  <c r="E66" i="43" s="1"/>
  <c r="G51" i="4"/>
  <c r="G61" i="4"/>
  <c r="G60" i="4"/>
  <c r="G55" i="4"/>
  <c r="G56" i="4" s="1"/>
  <c r="G57" i="4" s="1"/>
  <c r="I51" i="4"/>
  <c r="I61" i="4"/>
  <c r="I65" i="4"/>
  <c r="I66" i="4" s="1"/>
  <c r="I60" i="4"/>
  <c r="G65" i="4"/>
  <c r="G66" i="4" s="1"/>
  <c r="E51" i="4"/>
  <c r="E60" i="4"/>
  <c r="E55" i="4"/>
  <c r="E56" i="4" s="1"/>
  <c r="E57" i="4" s="1"/>
  <c r="E61" i="4"/>
  <c r="D49" i="4" l="1"/>
  <c r="D60" i="4" s="1"/>
  <c r="D55" i="43"/>
  <c r="D56" i="43" s="1"/>
  <c r="D57" i="43" s="1"/>
  <c r="D51" i="43"/>
  <c r="D60" i="43"/>
  <c r="D61" i="43"/>
  <c r="D65" i="43"/>
  <c r="D66" i="43" s="1"/>
  <c r="D61" i="4" l="1"/>
  <c r="D65" i="4"/>
  <c r="D66" i="4" s="1"/>
  <c r="D51" i="4"/>
  <c r="C11" i="53"/>
  <c r="C18" i="53" s="1"/>
  <c r="C26" i="53" l="1"/>
  <c r="C27" i="53" s="1"/>
  <c r="C34" i="53" s="1"/>
  <c r="C35" i="53" s="1"/>
  <c r="C47" i="53" l="1"/>
  <c r="C51" i="53" l="1"/>
  <c r="C61" i="53"/>
  <c r="C48" i="53"/>
  <c r="C62" i="53" l="1"/>
  <c r="C64" i="53" s="1"/>
  <c r="C44" i="53"/>
  <c r="I20" i="46" s="1"/>
  <c r="C52" i="53"/>
  <c r="C53" i="53" s="1"/>
  <c r="C68" i="53" l="1"/>
  <c r="C65" i="53"/>
  <c r="C66" i="53" s="1"/>
  <c r="C69" i="53" s="1"/>
  <c r="C72" i="53" s="1"/>
  <c r="C86" i="53"/>
  <c r="C91" i="53" s="1"/>
  <c r="C73" i="53" l="1"/>
  <c r="C77" i="53" s="1"/>
  <c r="C81" i="53" s="1"/>
  <c r="C76" i="53"/>
  <c r="C87" i="53"/>
  <c r="I13" i="46" s="1"/>
  <c r="I9" i="49"/>
  <c r="I12" i="46"/>
  <c r="C90" i="53" l="1"/>
  <c r="C93" i="53" s="1"/>
  <c r="C80" i="53"/>
  <c r="I47" i="49"/>
  <c r="I75" i="49"/>
  <c r="I10" i="49"/>
  <c r="I19" i="49" s="1"/>
  <c r="I77" i="49"/>
  <c r="I33" i="49"/>
  <c r="I39" i="49"/>
  <c r="I24" i="46"/>
  <c r="I11" i="49" l="1"/>
  <c r="I20" i="49" s="1"/>
  <c r="I21" i="49" s="1"/>
  <c r="I23" i="46"/>
  <c r="I38" i="49"/>
  <c r="I37" i="49" s="1"/>
  <c r="C83" i="53"/>
  <c r="C94" i="53"/>
  <c r="C96" i="53"/>
  <c r="I40" i="49" l="1"/>
  <c r="I76" i="49"/>
  <c r="I22" i="46"/>
  <c r="I12" i="49"/>
  <c r="I22" i="49"/>
  <c r="I63" i="49"/>
  <c r="I43" i="49" l="1"/>
  <c r="I45" i="49"/>
  <c r="I44" i="49"/>
  <c r="I46" i="49"/>
  <c r="I48" i="49" s="1"/>
  <c r="I41" i="49"/>
  <c r="I23" i="49"/>
  <c r="I49" i="49" l="1"/>
  <c r="N9" i="46"/>
  <c r="I51" i="49" l="1"/>
  <c r="I78" i="49" s="1"/>
  <c r="I79" i="49" s="1"/>
  <c r="I53" i="49" l="1"/>
  <c r="I69" i="49" l="1"/>
  <c r="J18" i="32" s="1"/>
  <c r="K9" i="32" s="1"/>
  <c r="I64" i="49"/>
  <c r="I55" i="49"/>
  <c r="I65" i="49"/>
  <c r="N8" i="46" s="1"/>
  <c r="N7" i="46" s="1"/>
  <c r="I71" i="49"/>
  <c r="I72" i="49" s="1"/>
  <c r="N12" i="46" l="1"/>
  <c r="N13" i="46" s="1"/>
  <c r="K8" i="32"/>
  <c r="K11" i="32"/>
  <c r="N11" i="46"/>
  <c r="I68" i="49"/>
  <c r="K15" i="32" l="1"/>
  <c r="K16" i="32" s="1"/>
  <c r="K14" i="32"/>
</calcChain>
</file>

<file path=xl/comments1.xml><?xml version="1.0" encoding="utf-8"?>
<comments xmlns="http://schemas.openxmlformats.org/spreadsheetml/2006/main">
  <authors>
    <author>tc={6E1164BF-9426-4578-80BA-708B214B01B8}</author>
    <author>tc={A82F0479-4BB5-4BF4-98CA-8EF94E14CEF5}</author>
    <author>tc={D2F633D7-CD23-4ED5-9F45-39B4F4BE9055}</author>
  </authors>
  <commentList>
    <comment ref="O22" authorId="0" shapeId="0">
      <text>
        <r>
          <rPr>
            <sz val="9"/>
            <color theme="1"/>
            <rFont val="Arial"/>
            <family val="2"/>
          </rPr>
          <t>[Threaded comment]
Your version of Excel allows you to read this threaded comment; however, any edits to it will get removed if the file is opened in a newer version of Excel. Learn more: https://go.microsoft.com/fwlink/?linkid=870924
Comment:
    D/n include uncovered parking in setback</t>
        </r>
      </text>
    </comment>
    <comment ref="W24" authorId="1" shapeId="0">
      <text>
        <r>
          <rPr>
            <sz val="9"/>
            <color theme="1"/>
            <rFont val="Arial"/>
            <family val="2"/>
          </rPr>
          <t>[Threaded comment]
Your version of Excel allows you to read this threaded comment; however, any edits to it will get removed if the file is opened in a newer version of Excel. Learn more: https://go.microsoft.com/fwlink/?linkid=870924
Comment:
    include access/loading space in parking sf</t>
        </r>
      </text>
    </comment>
    <comment ref="V34" authorId="2" shapeId="0">
      <text>
        <r>
          <rPr>
            <sz val="9"/>
            <color theme="1"/>
            <rFont val="Arial"/>
            <family val="2"/>
          </rPr>
          <t>[Threaded comment]
Your version of Excel allows you to read this threaded comment; however, any edits to it will get removed if the file is opened in a newer version of Excel. Learn more: https://go.microsoft.com/fwlink/?linkid=870924
Comment:
    see if parking ratio reduction applies?</t>
        </r>
      </text>
    </comment>
  </commentList>
</comments>
</file>

<file path=xl/sharedStrings.xml><?xml version="1.0" encoding="utf-8"?>
<sst xmlns="http://schemas.openxmlformats.org/spreadsheetml/2006/main" count="1860" uniqueCount="751">
  <si>
    <t>Parking</t>
  </si>
  <si>
    <t>FAR</t>
  </si>
  <si>
    <t>Apartments (Affordable)</t>
  </si>
  <si>
    <t>Vacancy</t>
  </si>
  <si>
    <t>Operating Expenses (non-reimburseable)</t>
  </si>
  <si>
    <t>Cap Rate</t>
  </si>
  <si>
    <t>Notes</t>
  </si>
  <si>
    <t>Revenues</t>
  </si>
  <si>
    <t>Net Operating Income</t>
  </si>
  <si>
    <t>Monthly Rent per Unit (of Average Size)</t>
  </si>
  <si>
    <t>Average Unit Size</t>
  </si>
  <si>
    <t>Number of Persons in Household</t>
  </si>
  <si>
    <t>Extremely Low (30% AMI)</t>
  </si>
  <si>
    <t>Very Low Income (50% AMI)</t>
  </si>
  <si>
    <t>Low Income (80% AMI)</t>
  </si>
  <si>
    <t>Median Income (100% AMI)</t>
  </si>
  <si>
    <t>Moderate Income (120% AMI)</t>
  </si>
  <si>
    <t>Income</t>
  </si>
  <si>
    <t>Affordable Rent Calculation</t>
  </si>
  <si>
    <t>Affordabililty Threshold</t>
  </si>
  <si>
    <t>of annual income</t>
  </si>
  <si>
    <t>Monthly Rent per Unit</t>
  </si>
  <si>
    <t xml:space="preserve">HCD Income Limits, 2016. </t>
  </si>
  <si>
    <t>based on previous projects</t>
  </si>
  <si>
    <t>Financing</t>
  </si>
  <si>
    <t>Soft Costs</t>
  </si>
  <si>
    <t>Hard Costs</t>
  </si>
  <si>
    <t>% of hard costs</t>
  </si>
  <si>
    <t>Arch, Eng &amp; Consulting</t>
  </si>
  <si>
    <t>Taxes, Insurance, Legal &amp; Accounting</t>
  </si>
  <si>
    <t>Other Soft Costs</t>
  </si>
  <si>
    <t>Contingency</t>
  </si>
  <si>
    <t>Municipal Fees</t>
  </si>
  <si>
    <t>Amount Financed (Loan-to-cost)</t>
  </si>
  <si>
    <t>Average outstanding balance</t>
  </si>
  <si>
    <t>Construction Loan Fee</t>
  </si>
  <si>
    <t>Construction Interest (annual)</t>
  </si>
  <si>
    <t>Land Costs</t>
  </si>
  <si>
    <t>Unit of measure</t>
  </si>
  <si>
    <t>Parcel Size (acres)</t>
  </si>
  <si>
    <t>Term</t>
  </si>
  <si>
    <t>Pro Forma</t>
  </si>
  <si>
    <t>Direct Costs</t>
  </si>
  <si>
    <t>Subtotal Direct Costs</t>
  </si>
  <si>
    <t>Indirect Costs</t>
  </si>
  <si>
    <t>Subtotal Indirect Costs</t>
  </si>
  <si>
    <t>based on market reports</t>
  </si>
  <si>
    <t>Total Soft Costs (Excluding Fees)</t>
  </si>
  <si>
    <t>Version</t>
  </si>
  <si>
    <t>Value</t>
  </si>
  <si>
    <t>% of hard + soft costs</t>
  </si>
  <si>
    <t>Developer Overhead</t>
  </si>
  <si>
    <t>Existing</t>
  </si>
  <si>
    <t>GSF</t>
  </si>
  <si>
    <t>Acres</t>
  </si>
  <si>
    <t>SF</t>
  </si>
  <si>
    <t>New Development by Right:</t>
  </si>
  <si>
    <t>Calculation of Base Case and Bonus FAR Scenarios for LinkedIn Community Benefits Study</t>
  </si>
  <si>
    <t>a.</t>
  </si>
  <si>
    <t>b.</t>
  </si>
  <si>
    <t>c.</t>
  </si>
  <si>
    <t>d.</t>
  </si>
  <si>
    <t>e.</t>
  </si>
  <si>
    <t>f.</t>
  </si>
  <si>
    <t>g.</t>
  </si>
  <si>
    <t>Retained (a - b)</t>
  </si>
  <si>
    <t>Bonus Area (f - e)</t>
  </si>
  <si>
    <t>Development Proposal</t>
  </si>
  <si>
    <t>To be Demolished</t>
  </si>
  <si>
    <t>Existing Development</t>
  </si>
  <si>
    <t>Base Case: New Allowable Area (d - c)</t>
  </si>
  <si>
    <t>Source: LinkedIn Middlefield Campus Formal Application, June 2017</t>
  </si>
  <si>
    <t xml:space="preserve">Parcel Size (sf) </t>
  </si>
  <si>
    <t>Total (gsf)</t>
  </si>
  <si>
    <t>Proposed: Gross New Area</t>
  </si>
  <si>
    <t>h.</t>
  </si>
  <si>
    <t>i.</t>
  </si>
  <si>
    <t>Net New Development (h - a)</t>
  </si>
  <si>
    <t>Total Development (c + f)</t>
  </si>
  <si>
    <t>FAR*</t>
  </si>
  <si>
    <t>* FAR is on the total site area.</t>
  </si>
  <si>
    <t>Total Allowable Area @ 0.50 FAR**</t>
  </si>
  <si>
    <t>** The base FAR is higher than the 0.35 as-of-right FAR to account for TOD improvements to be provided by the applicant</t>
  </si>
  <si>
    <t>Development Costs</t>
  </si>
  <si>
    <t>Total Site Area: 28.7 acres (1,252,030 sf)</t>
  </si>
  <si>
    <t>Site Area to be Redeveloped: 16.8 acres (730,000 sf)</t>
  </si>
  <si>
    <t>Surface</t>
  </si>
  <si>
    <t>Spaces</t>
  </si>
  <si>
    <t>Structured</t>
  </si>
  <si>
    <t>Podium</t>
  </si>
  <si>
    <t>Below Grade</t>
  </si>
  <si>
    <t>Gross Parking Area (gsf)</t>
  </si>
  <si>
    <t>per space</t>
  </si>
  <si>
    <t>Building Area (gsf)</t>
  </si>
  <si>
    <t>Rentable/Saleable Area (nsf)</t>
  </si>
  <si>
    <t>Residential Units</t>
  </si>
  <si>
    <t>Number of Units</t>
  </si>
  <si>
    <t>Average Unit Size (nsf)</t>
  </si>
  <si>
    <t>Residential</t>
  </si>
  <si>
    <t>Source/Notes</t>
  </si>
  <si>
    <t>Total</t>
  </si>
  <si>
    <t>per square foot</t>
  </si>
  <si>
    <t>per gross sf</t>
  </si>
  <si>
    <t>(millions of $)</t>
  </si>
  <si>
    <t>Unit Density (du/acre)</t>
  </si>
  <si>
    <t>Building Efficiency</t>
  </si>
  <si>
    <t>per unit</t>
  </si>
  <si>
    <t>Total Development Costs</t>
  </si>
  <si>
    <t>Amt Financed * Loan Fee</t>
  </si>
  <si>
    <t>Interest Cost</t>
  </si>
  <si>
    <t>Calculated Factors</t>
  </si>
  <si>
    <t>net sf</t>
  </si>
  <si>
    <t>Average Monthly Rent</t>
  </si>
  <si>
    <t>Per nsf</t>
  </si>
  <si>
    <t>Per unit</t>
  </si>
  <si>
    <t>per nsf</t>
  </si>
  <si>
    <t>Operating Expense</t>
  </si>
  <si>
    <t>Other Revenues</t>
  </si>
  <si>
    <t>Capitalized Value</t>
  </si>
  <si>
    <t>Feasibility</t>
  </si>
  <si>
    <t>Minimum Yield-on-Cost</t>
  </si>
  <si>
    <t>NOI / TDC</t>
  </si>
  <si>
    <t>Development Cost Assumptions</t>
  </si>
  <si>
    <t>Revenue Assumptions</t>
  </si>
  <si>
    <t>Building Program</t>
  </si>
  <si>
    <t>Developer Return</t>
  </si>
  <si>
    <t>Project Yield-on-cost</t>
  </si>
  <si>
    <t>Project Capitalized Value</t>
  </si>
  <si>
    <t>Net Revenue</t>
  </si>
  <si>
    <t>Profit</t>
  </si>
  <si>
    <t>Development Program</t>
  </si>
  <si>
    <t>% of outstanding balance</t>
  </si>
  <si>
    <t>% of amt financed</t>
  </si>
  <si>
    <t>months</t>
  </si>
  <si>
    <t>% of GSI [a]</t>
  </si>
  <si>
    <t>[a] GSI = Gross Scheduled Income.</t>
  </si>
  <si>
    <t>NOI / Proj Value [b]</t>
  </si>
  <si>
    <t>Used SJHR as example</t>
  </si>
  <si>
    <t>from Kristen Hall</t>
  </si>
  <si>
    <t>Input sheets</t>
  </si>
  <si>
    <t>Test Fit - Large Site</t>
  </si>
  <si>
    <t>2 levels P</t>
  </si>
  <si>
    <t>1 level P</t>
  </si>
  <si>
    <t>Building Height (stories)</t>
  </si>
  <si>
    <t>1 level P 4 stories</t>
  </si>
  <si>
    <t>1 level P 3 stories</t>
  </si>
  <si>
    <t>Site Area</t>
  </si>
  <si>
    <t>UNITS ALLOWED BY PARKING</t>
  </si>
  <si>
    <t>Acre</t>
  </si>
  <si>
    <t>acres</t>
  </si>
  <si>
    <t>square feet</t>
  </si>
  <si>
    <t>Unit</t>
  </si>
  <si>
    <t>Units</t>
  </si>
  <si>
    <t>Pgk Ratio</t>
  </si>
  <si>
    <t>Spaces Required</t>
  </si>
  <si>
    <t>Studio/1br</t>
  </si>
  <si>
    <t>Du/acre</t>
  </si>
  <si>
    <t>units</t>
  </si>
  <si>
    <t>2br +</t>
  </si>
  <si>
    <t>Visitor</t>
  </si>
  <si>
    <t>Assumptions</t>
  </si>
  <si>
    <t>Resi Unit</t>
  </si>
  <si>
    <t>sf/unit</t>
  </si>
  <si>
    <t>gross</t>
  </si>
  <si>
    <t>Parking area - 1 level</t>
  </si>
  <si>
    <t>sf/space</t>
  </si>
  <si>
    <t>Parking area - 2 levels</t>
  </si>
  <si>
    <t>Unit Mix</t>
  </si>
  <si>
    <t>Studio/1BR</t>
  </si>
  <si>
    <t>of total units</t>
  </si>
  <si>
    <t>2Br+</t>
  </si>
  <si>
    <t>Ground Floor Retail</t>
  </si>
  <si>
    <t>1 Level P</t>
  </si>
  <si>
    <t>Ground Floor Residential</t>
  </si>
  <si>
    <t>2 Levels P</t>
  </si>
  <si>
    <t>BUILDING AREAS</t>
  </si>
  <si>
    <t>Areas</t>
  </si>
  <si>
    <t>Retail</t>
  </si>
  <si>
    <t>Height</t>
  </si>
  <si>
    <t>DU/Acre</t>
  </si>
  <si>
    <t>Ground Floor</t>
  </si>
  <si>
    <t>L2</t>
  </si>
  <si>
    <t>L3</t>
  </si>
  <si>
    <t>3-Level Building</t>
  </si>
  <si>
    <t>L4</t>
  </si>
  <si>
    <t>4-Level Building</t>
  </si>
  <si>
    <t>Parking Spaces</t>
  </si>
  <si>
    <t>L4 full</t>
  </si>
  <si>
    <t>-</t>
  </si>
  <si>
    <t>L5</t>
  </si>
  <si>
    <t>5-Level Building</t>
  </si>
  <si>
    <t>PARKING REQUIRED</t>
  </si>
  <si>
    <t xml:space="preserve">3-story building </t>
  </si>
  <si>
    <t xml:space="preserve">4-story building </t>
  </si>
  <si>
    <t>4-story building (max FAR)</t>
  </si>
  <si>
    <t>4-story building (max height and parking)</t>
  </si>
  <si>
    <t>Area</t>
  </si>
  <si>
    <t>Retail Spaces</t>
  </si>
  <si>
    <t>Resi Spaces</t>
  </si>
  <si>
    <t>Total Spaces</t>
  </si>
  <si>
    <t>Restaurant</t>
  </si>
  <si>
    <t>Retail/Fitness</t>
  </si>
  <si>
    <t>Retail (shops)/fitness</t>
  </si>
  <si>
    <t>Parking Discount</t>
  </si>
  <si>
    <t>Total Spaces Required</t>
  </si>
  <si>
    <t xml:space="preserve">5-story building </t>
  </si>
  <si>
    <t>1A</t>
  </si>
  <si>
    <t>1B</t>
  </si>
  <si>
    <t>Retail Area (gsf)</t>
  </si>
  <si>
    <t>Total Podium Spaces Provided</t>
  </si>
  <si>
    <t>Residential Parking Spaces Required</t>
  </si>
  <si>
    <t>Retail Spaces Required</t>
  </si>
  <si>
    <t>MXDH-Large Test Fit</t>
  </si>
  <si>
    <t>Residential Area (gsf)</t>
  </si>
  <si>
    <t>Source: Kristen Hall Design, 2020</t>
  </si>
  <si>
    <t>2 levels P 4 stories</t>
  </si>
  <si>
    <t>2 levels P 5 stories</t>
  </si>
  <si>
    <t>2A</t>
  </si>
  <si>
    <t>2B</t>
  </si>
  <si>
    <t>3A</t>
  </si>
  <si>
    <t>3B</t>
  </si>
  <si>
    <t>1 level P 4 stories; no retail</t>
  </si>
  <si>
    <t>1 level P 5 stories; no retail</t>
  </si>
  <si>
    <t>Res Parking Ratio</t>
  </si>
  <si>
    <t>4A</t>
  </si>
  <si>
    <t>4B</t>
  </si>
  <si>
    <t>2 levels P, 4 stories; no retail</t>
  </si>
  <si>
    <t>2 levels P, 5 stories, no retail</t>
  </si>
  <si>
    <t>[b] NOI = Net Operating Income.</t>
  </si>
  <si>
    <t xml:space="preserve">Annual expense </t>
  </si>
  <si>
    <t>KMA Study</t>
  </si>
  <si>
    <t>Source: Costar Group Comps, 2020; Strategic Economics, 2019.</t>
  </si>
  <si>
    <t>New product seems to be in the $4.15/SF range</t>
  </si>
  <si>
    <t>City fees per unit</t>
  </si>
  <si>
    <t>Revenues - Market Rate</t>
  </si>
  <si>
    <t>Revenues -  Below Market Rate</t>
  </si>
  <si>
    <t>Table for proforma</t>
  </si>
  <si>
    <t xml:space="preserve">Maximum Available for Monthly Rent (SE Calc) </t>
  </si>
  <si>
    <t>Studio</t>
  </si>
  <si>
    <t>1-BD</t>
  </si>
  <si>
    <t>2-BD</t>
  </si>
  <si>
    <t>3-BD</t>
  </si>
  <si>
    <t xml:space="preserve">30% of AMI </t>
  </si>
  <si>
    <t xml:space="preserve">50% of AMI </t>
  </si>
  <si>
    <t>60% of AMI</t>
  </si>
  <si>
    <t xml:space="preserve">80% of AMI </t>
  </si>
  <si>
    <t xml:space="preserve">100% of AMI </t>
  </si>
  <si>
    <t xml:space="preserve">120% of AMI </t>
  </si>
  <si>
    <t xml:space="preserve">Source: HUD, 2020; Strategic Economics, 2020. </t>
  </si>
  <si>
    <t>Analysis</t>
  </si>
  <si>
    <t xml:space="preserve">Income Limits by HH Size </t>
  </si>
  <si>
    <t xml:space="preserve">  1 Person</t>
  </si>
  <si>
    <t xml:space="preserve">  2 Person</t>
  </si>
  <si>
    <t xml:space="preserve">  3 Person</t>
  </si>
  <si>
    <t xml:space="preserve">  4 Person</t>
  </si>
  <si>
    <t xml:space="preserve">  5 Person</t>
  </si>
  <si>
    <t xml:space="preserve">  6 Person</t>
  </si>
  <si>
    <t>&lt; HCD Income Limits, Santa Cruz County, April 2020</t>
  </si>
  <si>
    <t xml:space="preserve">Income Limits by Unit Type (SE Calc) </t>
  </si>
  <si>
    <t xml:space="preserve">&lt; Translated into income limits by unit type </t>
  </si>
  <si>
    <t>&lt; Studio: 1-person household; 1-BD: 1.5 person household; 2-BD: 3-person household; 3-bd: 3.5-person household</t>
  </si>
  <si>
    <t xml:space="preserve">Utility Allowance </t>
  </si>
  <si>
    <t>&lt; Calculted Utility Allowance for Apartments for Santa Cruz County, Santa Cruz Housing Authority, October 2019</t>
  </si>
  <si>
    <t xml:space="preserve">General Electric (Lights &amp; ect.) </t>
  </si>
  <si>
    <t>Heating - Electric</t>
  </si>
  <si>
    <t>Heating - Natural Gas</t>
  </si>
  <si>
    <t xml:space="preserve">Cooking - Oil/Electric </t>
  </si>
  <si>
    <t>Cooking - Natural gas</t>
  </si>
  <si>
    <t>Air Conditioning</t>
  </si>
  <si>
    <t xml:space="preserve">Water Heating - Electric </t>
  </si>
  <si>
    <t>Water Heating - Natural Gas</t>
  </si>
  <si>
    <t>Water</t>
  </si>
  <si>
    <t>Sewer</t>
  </si>
  <si>
    <t>Trash</t>
  </si>
  <si>
    <t>Range/Microwave</t>
  </si>
  <si>
    <t>Refrigerator</t>
  </si>
  <si>
    <t>&lt; We assume Heating (gas), Cooking (gas), Gen electric/lighting, and Water Heating (gas) for the utility deduction</t>
  </si>
  <si>
    <t xml:space="preserve">&lt; Maximum available for monthly rents is calculated as the HUD rent limits, minus the HUD utility allowance for Santa Cruz County. </t>
  </si>
  <si>
    <t xml:space="preserve">&lt; Assuming 30% rent burden </t>
  </si>
  <si>
    <t xml:space="preserve">&lt;60% AMI was calculated by averaging the 50% and 80% AMI </t>
  </si>
  <si>
    <t>Rent Burden Assumption</t>
  </si>
  <si>
    <t>Affordable rents</t>
  </si>
  <si>
    <t>calculations by Jesse</t>
  </si>
  <si>
    <t>HCD Rents</t>
  </si>
  <si>
    <t>35% parking discount applies to TOD types projects (proposed, not actual). Should only apply to residential.</t>
  </si>
  <si>
    <t>80% AMI maximum rent (average studio and one-bedroom)</t>
  </si>
  <si>
    <t>2 - Meet Req Pkg and Max Ht</t>
  </si>
  <si>
    <t>3 - Max building type</t>
  </si>
  <si>
    <t>4 - Meet Req Pkg and Max Ht</t>
  </si>
  <si>
    <t>5 - Max building type</t>
  </si>
  <si>
    <t>Market Rate Apartment NOI</t>
  </si>
  <si>
    <t>Below-Market-Rate Apartment NOI</t>
  </si>
  <si>
    <t>Net Operating Expense</t>
  </si>
  <si>
    <t>Annual vacancy allowance</t>
  </si>
  <si>
    <t>Market Rate</t>
  </si>
  <si>
    <t>NNN rents</t>
  </si>
  <si>
    <t>pass through</t>
  </si>
  <si>
    <t>Annual rent</t>
  </si>
  <si>
    <t>Land Costs per unit</t>
  </si>
  <si>
    <t>Residential and Retail Area (gsf)</t>
  </si>
  <si>
    <t>Parking spaces</t>
  </si>
  <si>
    <t>Test Fits</t>
  </si>
  <si>
    <t>LARGE SITE MIXED USE</t>
  </si>
  <si>
    <t>LARGE SITE RESIDENTIAL ONLY</t>
  </si>
  <si>
    <t>Property Address</t>
  </si>
  <si>
    <t>Location</t>
  </si>
  <si>
    <t>Property City</t>
  </si>
  <si>
    <t>Property State</t>
  </si>
  <si>
    <t>Property Type</t>
  </si>
  <si>
    <t>Land Area SF</t>
  </si>
  <si>
    <t>Building SF</t>
  </si>
  <si>
    <t>Star Rating</t>
  </si>
  <si>
    <t>Sale Price</t>
  </si>
  <si>
    <t>Price Per SF</t>
  </si>
  <si>
    <t>Sale Date</t>
  </si>
  <si>
    <t>Sale Status</t>
  </si>
  <si>
    <t>Asking Price</t>
  </si>
  <si>
    <t>Actual Cap Rate</t>
  </si>
  <si>
    <t>Pro Forma Cap Rate</t>
  </si>
  <si>
    <t>Property Name</t>
  </si>
  <si>
    <t>Buyer (True) Company</t>
  </si>
  <si>
    <t>Buyer (True) Origin</t>
  </si>
  <si>
    <t>Buyers Broker Company</t>
  </si>
  <si>
    <t>Seller (True) Company</t>
  </si>
  <si>
    <t>Seller (True) Origin</t>
  </si>
  <si>
    <t>Listing Broker Company</t>
  </si>
  <si>
    <t>Secondary Type</t>
  </si>
  <si>
    <t>Building Class</t>
  </si>
  <si>
    <t>Year Built</t>
  </si>
  <si>
    <t>Land Area AC</t>
  </si>
  <si>
    <t>Number Of Floors</t>
  </si>
  <si>
    <t>Zoning</t>
  </si>
  <si>
    <t>Submarket Code</t>
  </si>
  <si>
    <t>Location Type</t>
  </si>
  <si>
    <t>Property Zip Code</t>
  </si>
  <si>
    <t>Property County</t>
  </si>
  <si>
    <t>Corner</t>
  </si>
  <si>
    <t>Map Code</t>
  </si>
  <si>
    <t>Recording Date</t>
  </si>
  <si>
    <t>Publication Date</t>
  </si>
  <si>
    <t>Non-Arms Length Reasons</t>
  </si>
  <si>
    <t>Sale Price Comment</t>
  </si>
  <si>
    <t>Research Status</t>
  </si>
  <si>
    <t>Latitude</t>
  </si>
  <si>
    <t>Longitude</t>
  </si>
  <si>
    <t>Transaction Notes</t>
  </si>
  <si>
    <t>818 Pacific Ave</t>
  </si>
  <si>
    <t>Downtown</t>
  </si>
  <si>
    <t>Santa Cruz</t>
  </si>
  <si>
    <t>CA</t>
  </si>
  <si>
    <t>3 Star</t>
  </si>
  <si>
    <t>Sold</t>
  </si>
  <si>
    <t>Devcon Construction, Inc.</t>
  </si>
  <si>
    <t>National</t>
  </si>
  <si>
    <t>Mobo Sushi Inc</t>
  </si>
  <si>
    <t>Darrow Talbert Realtors</t>
  </si>
  <si>
    <t>Storefront</t>
  </si>
  <si>
    <t>B</t>
  </si>
  <si>
    <t>Urban</t>
  </si>
  <si>
    <t>95060</t>
  </si>
  <si>
    <t>Confirmed</t>
  </si>
  <si>
    <t>Research Complete</t>
  </si>
  <si>
    <t>818 Pacific Ave in Santa Cruz, CA sold for $1.35 million or $268.18 per-square-foot.  
According to the seller, this property was to Pipleline Smoke &amp; Gifts.  The buyer purchased the property with the intent to hold the property for a future development.  There are no set plans, approvals or entitlements in place.  Pipeline will continue operating for the time being.  
This was the seller's downleg in a 1031 exhange.  The seller exchanged into a property accross the street at 901 Pacific Ave in Santa Cruz.</t>
  </si>
  <si>
    <t>217 Potrero St</t>
  </si>
  <si>
    <t>industrial area</t>
  </si>
  <si>
    <t>Land</t>
  </si>
  <si>
    <t>2 Star</t>
  </si>
  <si>
    <t>217 Potrero St., Santa Cruz, CA 95060</t>
  </si>
  <si>
    <t>Shoemaker Commercial Real Estate</t>
  </si>
  <si>
    <t>Suburban</t>
  </si>
  <si>
    <t>95060-2717</t>
  </si>
  <si>
    <t>Public Record</t>
  </si>
  <si>
    <t>Multi-property sale at Ocean and May and Hubbard</t>
  </si>
  <si>
    <t xml:space="preserve">Ocean Street </t>
  </si>
  <si>
    <t>Commercial</t>
  </si>
  <si>
    <t>908 Ocean St (Part of Multi-Property Sale)</t>
  </si>
  <si>
    <t>Multi-Property Sale</t>
  </si>
  <si>
    <t>Sridhar Equities</t>
  </si>
  <si>
    <t>Bei Scott Company, LLC</t>
  </si>
  <si>
    <t>Local</t>
  </si>
  <si>
    <t>Auto Repair</t>
  </si>
  <si>
    <t>C</t>
  </si>
  <si>
    <t>Allocated</t>
  </si>
  <si>
    <t>The subject properties was sold on 10/6/2017 for $6,800,000.
This consists of a total of 18 parcels about 3.21-acres. The properties have
existing commercial and SFR buildings. Per seller the buyer will redevelop the
area but is not clear what type of development project. It appears that there
are still a number of unsold parcels (Ocean, Hubbard and May St) to complete 
the assemblage. 
There were attempts to contact the buyer but calls were not returned.
Escrow length was approximately 90 days.</t>
  </si>
  <si>
    <t>920 Ocean St</t>
  </si>
  <si>
    <t>Industrial</t>
  </si>
  <si>
    <t>Brian Bogaard</t>
  </si>
  <si>
    <t>Warehouse</t>
  </si>
  <si>
    <t>Full Value</t>
  </si>
  <si>
    <t>457 May Ave (Part of Multi-Property Sale)</t>
  </si>
  <si>
    <t>Freestanding</t>
  </si>
  <si>
    <t>449 May Ave (Part of Multi-Property Sale)</t>
  </si>
  <si>
    <t>Office</t>
  </si>
  <si>
    <t>SBF</t>
  </si>
  <si>
    <t>419 May Ave (Part of Multi-Property Sale)</t>
  </si>
  <si>
    <t>435 May Ave (Part of Multi-Property Sale)</t>
  </si>
  <si>
    <t>108 Sycamore St</t>
  </si>
  <si>
    <t>Multi-Family</t>
  </si>
  <si>
    <t>108 Sycamore</t>
  </si>
  <si>
    <t>Main Street Realtors</t>
  </si>
  <si>
    <t>Apartments</t>
  </si>
  <si>
    <t>IGQ</t>
  </si>
  <si>
    <t>1010 Rodriquez St</t>
  </si>
  <si>
    <t>Live Oak (low density residential)</t>
  </si>
  <si>
    <t>City Ventures</t>
  </si>
  <si>
    <t>Compass</t>
  </si>
  <si>
    <t>Cal-Cruz Hatcheries Inc</t>
  </si>
  <si>
    <t>Sheldon Wiseman Commercial Real Estate</t>
  </si>
  <si>
    <t>R-1-6</t>
  </si>
  <si>
    <t>95062</t>
  </si>
  <si>
    <t xml:space="preserve">On November 25, 2015 the 1.6 acres of land at 1010 Rodriguez Street Santa Cruz CA 95062 was sold for $1,600,000 or $1,000,000 per acre. The property had been previously developed as an industrial building. The property is zoned R-1-6.
The property was on the market for 3 months, with an initial asking price of $1,725,000. The transaction was in escrow for approximately 730 days due to the lengthy approval process re-purposing the land to residential units.
The buyer paid cash for the purpose and is still in the approval process with the city.
The listing and buyer’s broker confirmed the following:
Address
Sqft
Type of Property 
Type of Sale
Sale Date
Sale Price
Seller
Buyer
Sale Conditions
Escrow Length
Time on the Market
Sale Motivations
</t>
  </si>
  <si>
    <t>344-358 Ocean St</t>
  </si>
  <si>
    <t>Ocean Street (affordable housing project)</t>
  </si>
  <si>
    <t>Cameron Investments</t>
  </si>
  <si>
    <t>The Pacific Companies</t>
  </si>
  <si>
    <t>RE3</t>
  </si>
  <si>
    <t>95060-7211</t>
  </si>
  <si>
    <t xml:space="preserve">On November 16, 2015 the 13,536 square foot property the multi-family property at 344-358 Ocean Street Santa Cruz, CA 95060 was sold for $3,724,200 or $186,210 per unit. The Class C building completed construction in 1940.
The buyer put 58% down and financed the balance of the purchase. The property was not on the market at the time of sale.
The buyer and seller could not be reached for comment.
All information used for this sale came from public sources.
</t>
  </si>
  <si>
    <t>2606 Paul Minnie Ave</t>
  </si>
  <si>
    <t>Soquel</t>
  </si>
  <si>
    <t>Under Contract</t>
  </si>
  <si>
    <t>D.L. Smith Real Estate Services</t>
  </si>
  <si>
    <t>PA</t>
  </si>
  <si>
    <t>Downtown sites</t>
  </si>
  <si>
    <t>Corridor Sites</t>
  </si>
  <si>
    <t>Land value/SF</t>
  </si>
  <si>
    <t>$130-$268</t>
  </si>
  <si>
    <t>Parking - podium</t>
  </si>
  <si>
    <t>Parking - underground</t>
  </si>
  <si>
    <t xml:space="preserve">Approx $100/SF </t>
  </si>
  <si>
    <t>Developer interview</t>
  </si>
  <si>
    <t>Total Development Cost per Unit</t>
  </si>
  <si>
    <t xml:space="preserve">Annual operating expense </t>
  </si>
  <si>
    <t>??</t>
  </si>
  <si>
    <t>Return on Cost</t>
  </si>
  <si>
    <t>Net Value (Res only)</t>
  </si>
  <si>
    <t>Net Operating Income (res only)</t>
  </si>
  <si>
    <t>Developer Fees and Other Soft Costs</t>
  </si>
  <si>
    <t>Building Costs</t>
  </si>
  <si>
    <t>BMR (20% of units at 80% AMI)</t>
  </si>
  <si>
    <t>Total OS</t>
  </si>
  <si>
    <t>Common</t>
  </si>
  <si>
    <t>Private</t>
  </si>
  <si>
    <t>Area Provided</t>
  </si>
  <si>
    <t>Area Req</t>
  </si>
  <si>
    <t>Amount Req</t>
  </si>
  <si>
    <t>Type of Space</t>
  </si>
  <si>
    <t>OPEN SPACE Required</t>
  </si>
  <si>
    <t>OPEN SPACE REQUIRED</t>
  </si>
  <si>
    <t>Santa Cruz Objective Standards</t>
  </si>
  <si>
    <t>Small Site Test Fit</t>
  </si>
  <si>
    <t>KRISTEN HALL CITY DESIGN</t>
  </si>
  <si>
    <t>6 - 35 feet</t>
  </si>
  <si>
    <t>SMALL SITE Mixed Use</t>
  </si>
  <si>
    <t>7 - 45 feet</t>
  </si>
  <si>
    <t>8 - 55 feet</t>
  </si>
  <si>
    <t>9 - 35 feet</t>
  </si>
  <si>
    <t>10 - 45 feet</t>
  </si>
  <si>
    <t>11 - 55 feet</t>
  </si>
  <si>
    <t>SMALL SITE RESIDENTIAL ONLY</t>
  </si>
  <si>
    <t>1 level P, 3 stories</t>
  </si>
  <si>
    <t>1 level P, 4 stories</t>
  </si>
  <si>
    <t>1 level P, 5 stories</t>
  </si>
  <si>
    <t>1 level P, 3 stories, no retail</t>
  </si>
  <si>
    <t>1 level P, 4 stories, , no retail</t>
  </si>
  <si>
    <t>1 level P, 5 stories, , no retail</t>
  </si>
  <si>
    <t>SMALL SITE MIXED USE</t>
  </si>
  <si>
    <t>Small Site Test Fits</t>
  </si>
  <si>
    <t>Test Fit Large Site Summary</t>
  </si>
  <si>
    <t>summarized from Kristen's analysis</t>
  </si>
  <si>
    <t>Test Fits for Pro Forma</t>
  </si>
  <si>
    <t>Selected test fits for analysis based on Kristen's analysis</t>
  </si>
  <si>
    <t>Cost Assumptions</t>
  </si>
  <si>
    <t>land sales</t>
  </si>
  <si>
    <t>comps from Costar of redevelopment transactions</t>
  </si>
  <si>
    <t>Based on Costar comps and KMA</t>
  </si>
  <si>
    <t>Based on developer interviews and KMA</t>
  </si>
  <si>
    <t>v02</t>
  </si>
  <si>
    <t>Background sheets</t>
  </si>
  <si>
    <t>Revenues -  Retail</t>
  </si>
  <si>
    <t>Average Monthly Rent at 80% AMI</t>
  </si>
  <si>
    <t>Pro Forma Assumptions</t>
  </si>
  <si>
    <t>ignore revenues from retail when calculating the YOC</t>
  </si>
  <si>
    <t>YOC threshold is 5.5% for feasibility</t>
  </si>
  <si>
    <t xml:space="preserve">Site Improvements </t>
  </si>
  <si>
    <t>Developer interviews and similar pro formas. (KMA Study $275 for building costs including parking and site improvements, with 5% annual cost inflation)</t>
  </si>
  <si>
    <t>Land and Site Improvement Costs</t>
  </si>
  <si>
    <t>Building Area</t>
  </si>
  <si>
    <t>Total Cost Per Unit</t>
  </si>
  <si>
    <t>Yield-on-cost</t>
  </si>
  <si>
    <t>&lt;parking cost changed to underground parking assumption (doubles cost)</t>
  </si>
  <si>
    <t>Prototype 1
(Max FAR)</t>
  </si>
  <si>
    <t xml:space="preserve">Prototype 2
(Max Height and Required Parking) </t>
  </si>
  <si>
    <t>Prototype 3
(Max Building Type)</t>
  </si>
  <si>
    <t>Prototype 4
(Max Height and Required Parking)</t>
  </si>
  <si>
    <t>Prototype 5
(Max Building Type)</t>
  </si>
  <si>
    <t>Prototype 6
(Height 35 feet)</t>
  </si>
  <si>
    <t>Prototype 7
(Height 55 feet)</t>
  </si>
  <si>
    <t>Prototype 8
(Height 45 feet)</t>
  </si>
  <si>
    <t>Minimum Yield-on-cost Feasibility</t>
  </si>
  <si>
    <t>% increase of UG parking</t>
  </si>
  <si>
    <t>Net Residential Area (nsf)</t>
  </si>
  <si>
    <t>% of hard and soft costs</t>
  </si>
  <si>
    <t>Gross Scheduled Income</t>
  </si>
  <si>
    <t>per Unit</t>
  </si>
  <si>
    <t xml:space="preserve"> Development Cost per Unit with Underground Parking</t>
  </si>
  <si>
    <t>Development Cost per Unit with Podium Parking</t>
  </si>
  <si>
    <t>1b - Meet Max FAR</t>
  </si>
  <si>
    <t xml:space="preserve">Prototype 1a - Meet 45' Ht </t>
  </si>
  <si>
    <t>Prototype 1a 
(45 ft height)</t>
  </si>
  <si>
    <t xml:space="preserve">SMALL SITE </t>
  </si>
  <si>
    <t>Prototype 6
(MU, Height 35 feet)</t>
  </si>
  <si>
    <t>Prototype 3 
(Max Bldg Type)</t>
  </si>
  <si>
    <t>Prototype 4
(Max Height + Req Pkg)</t>
  </si>
  <si>
    <t xml:space="preserve">Prototype 2
(Max Height + Req Pkg) </t>
  </si>
  <si>
    <t>Prototype 7
(MU, Height 45 feet)</t>
  </si>
  <si>
    <t>Prototype 8
(MU, Height 55 feet)</t>
  </si>
  <si>
    <t>Prototype 9
(Res only, Height 45 feet)</t>
  </si>
  <si>
    <t>Hard Costs (building)</t>
  </si>
  <si>
    <t>SALE TYPE</t>
  </si>
  <si>
    <t>SOLD DATE</t>
  </si>
  <si>
    <t>PROPERTY TYPE</t>
  </si>
  <si>
    <t>ADDRESS</t>
  </si>
  <si>
    <t>ZIP OR POSTAL CODE</t>
  </si>
  <si>
    <t>LOT SIZE</t>
  </si>
  <si>
    <t>PRICE</t>
  </si>
  <si>
    <t>PPSF</t>
  </si>
  <si>
    <t>URL (SEE http://www.redfin.com/buy-a-home/comparative-market-analysis FOR INFO ON PRICING)</t>
  </si>
  <si>
    <t>SOURCE</t>
  </si>
  <si>
    <t>MLS#</t>
  </si>
  <si>
    <t>FAVORITE</t>
  </si>
  <si>
    <t>INTERESTED</t>
  </si>
  <si>
    <t>LATITUDE</t>
  </si>
  <si>
    <t>LONGITUDE</t>
  </si>
  <si>
    <t>PAST SALE</t>
  </si>
  <si>
    <t>January-25-2021</t>
  </si>
  <si>
    <t>Vacant Land</t>
  </si>
  <si>
    <t>238 Trevethan Ave</t>
  </si>
  <si>
    <t>http://www.redfin.com/CA/Santa-Cruz/238-Trevethan-Ave-95062/home/161472715</t>
  </si>
  <si>
    <t>MLSListings</t>
  </si>
  <si>
    <t>ML81824654</t>
  </si>
  <si>
    <t>N</t>
  </si>
  <si>
    <t>Y</t>
  </si>
  <si>
    <t>July-12-2016</t>
  </si>
  <si>
    <t>437 High St</t>
  </si>
  <si>
    <t>http://www.redfin.com/CA/Santa-Cruz/437-High-St-95060/home/104535147</t>
  </si>
  <si>
    <t>ML81580921</t>
  </si>
  <si>
    <t>February-15-2019</t>
  </si>
  <si>
    <t>324 Grant St</t>
  </si>
  <si>
    <t>http://www.redfin.com/CA/Santa-Cruz/324-Grant-St-95060/home/23008160</t>
  </si>
  <si>
    <t>ML81730980</t>
  </si>
  <si>
    <t>November-19-2020</t>
  </si>
  <si>
    <t>000 Glenwood Ave</t>
  </si>
  <si>
    <t>http://www.redfin.com/CA/Santa-Cruz/Glenwood-Ave-95060/home/171902483</t>
  </si>
  <si>
    <t>ML81788686</t>
  </si>
  <si>
    <t>March-10-2020</t>
  </si>
  <si>
    <t>116 Curtis St</t>
  </si>
  <si>
    <t>http://www.redfin.com/CA/Santa-Cruz/116-Curtis-St-95060/home/169731129</t>
  </si>
  <si>
    <t>ML81774922</t>
  </si>
  <si>
    <t>November-5-2019</t>
  </si>
  <si>
    <t>131 Bixby St</t>
  </si>
  <si>
    <t>http://www.redfin.com/CA/Santa-Cruz/131-Bixby-St-95060/home/23017048</t>
  </si>
  <si>
    <t>ML81765508</t>
  </si>
  <si>
    <t>January-20-2021</t>
  </si>
  <si>
    <t>149 Peyton St</t>
  </si>
  <si>
    <t>http://www.redfin.com/CA/Santa-Cruz/149-Peyton-St-95060/home/170153666</t>
  </si>
  <si>
    <t>ML81817549</t>
  </si>
  <si>
    <t>Average</t>
  </si>
  <si>
    <t>Redfin land sales</t>
  </si>
  <si>
    <t>Median</t>
  </si>
  <si>
    <t>RL ZONE</t>
  </si>
  <si>
    <t>Prototype 4 (Max du/acre)</t>
  </si>
  <si>
    <t>Version 2</t>
  </si>
  <si>
    <t>Version 2 (1,080 s.f. unit - 2 bedroom)</t>
  </si>
  <si>
    <t>2-Level Building</t>
  </si>
  <si>
    <t>v1</t>
  </si>
  <si>
    <t>v2</t>
  </si>
  <si>
    <t>3x3BD, 30 feet</t>
  </si>
  <si>
    <t>4x2BD, 30 feet</t>
  </si>
  <si>
    <t>Land Cost</t>
  </si>
  <si>
    <t>Unit size</t>
  </si>
  <si>
    <t>Maximum Retail Area (gsf)</t>
  </si>
  <si>
    <t xml:space="preserve">Retail Percent </t>
  </si>
  <si>
    <t>Parking Type</t>
  </si>
  <si>
    <t>Building Height</t>
  </si>
  <si>
    <t>Number of Stories</t>
  </si>
  <si>
    <t>Type</t>
  </si>
  <si>
    <t xml:space="preserve">Parking Spaces </t>
  </si>
  <si>
    <t xml:space="preserve">per unit </t>
  </si>
  <si>
    <t>Commercial Requirements</t>
  </si>
  <si>
    <t xml:space="preserve">1 space per </t>
  </si>
  <si>
    <t>1 space per</t>
  </si>
  <si>
    <t>Gross Floor Area</t>
  </si>
  <si>
    <t>Total Retail</t>
  </si>
  <si>
    <t>Total Residential w/ discount</t>
  </si>
  <si>
    <t>Total Number of Spaces</t>
  </si>
  <si>
    <t>Rent</t>
  </si>
  <si>
    <t xml:space="preserve">Residential Parking </t>
  </si>
  <si>
    <t>Studio/1BD Parking Ratio</t>
  </si>
  <si>
    <t>2BD+ Parking Ratio</t>
  </si>
  <si>
    <t xml:space="preserve">Retail Parking </t>
  </si>
  <si>
    <t>Dwelling Units per Acre</t>
  </si>
  <si>
    <t>Total Retail w/ discount</t>
  </si>
  <si>
    <t>Underground</t>
  </si>
  <si>
    <t>Parking Costs</t>
  </si>
  <si>
    <t>Podium Parking Costs</t>
  </si>
  <si>
    <t>Underground Parking Costs</t>
  </si>
  <si>
    <t>Development Cost per Unit</t>
  </si>
  <si>
    <t>Financial Gap per Unit</t>
  </si>
  <si>
    <t>Capitalized Value per Unit</t>
  </si>
  <si>
    <t>Podium Parking Spaces</t>
  </si>
  <si>
    <t>Development Likelihood</t>
  </si>
  <si>
    <t xml:space="preserve">Guest Parking </t>
  </si>
  <si>
    <t>Space per sf of Retail</t>
  </si>
  <si>
    <t>Base</t>
  </si>
  <si>
    <t>Total Available Podium</t>
  </si>
  <si>
    <t>Unit of Measure</t>
  </si>
  <si>
    <t>Unit Size</t>
  </si>
  <si>
    <t>Monthly Rent</t>
  </si>
  <si>
    <t>Price per Sf</t>
  </si>
  <si>
    <t>Rents</t>
  </si>
  <si>
    <t>Key Revenue Assumptions</t>
  </si>
  <si>
    <t>Source: Strategic Economics, 2021.</t>
  </si>
  <si>
    <t>Development Probability</t>
  </si>
  <si>
    <t>5.5% or greater</t>
  </si>
  <si>
    <t>Somewhat Likely</t>
  </si>
  <si>
    <t>Unlikely</t>
  </si>
  <si>
    <t>Less than 5.0%</t>
  </si>
  <si>
    <t>5.0% to 5.4%</t>
  </si>
  <si>
    <t>Square Feet per Parking Space</t>
  </si>
  <si>
    <t>Key Parking Assumptions</t>
  </si>
  <si>
    <t>Key Cost Assumptions</t>
  </si>
  <si>
    <t>Costs</t>
  </si>
  <si>
    <t>Key Assumptions and Inputs</t>
  </si>
  <si>
    <t>&lt;if greater than "0" than there is no gap</t>
  </si>
  <si>
    <t>&lt;revenue ignored for YOC calc.</t>
  </si>
  <si>
    <t>Retail*</t>
  </si>
  <si>
    <t>*Changes to language affect IF statements for retail percentage in the 3. Prototypes tab</t>
  </si>
  <si>
    <t>Percent of Maximum</t>
  </si>
  <si>
    <t>Square Feet</t>
  </si>
  <si>
    <t xml:space="preserve">Development Probability Thresholds </t>
  </si>
  <si>
    <t>Value per Unit</t>
  </si>
  <si>
    <t>Studios/1BDs</t>
  </si>
  <si>
    <t>Studios/1BDs + more 2BDs</t>
  </si>
  <si>
    <t>Studios/1BDs + some 2BDs</t>
  </si>
  <si>
    <t>Retail Square Footage</t>
  </si>
  <si>
    <t>Total Parking Spaces</t>
  </si>
  <si>
    <t>Total Units</t>
  </si>
  <si>
    <t>Residential Parking</t>
  </si>
  <si>
    <t>Sq Test</t>
  </si>
  <si>
    <t>Gsf to check against</t>
  </si>
  <si>
    <t>4. Parking Ratios</t>
  </si>
  <si>
    <t>Residential Area Only (gsf)</t>
  </si>
  <si>
    <t>&lt;should any underground parking be required, then only one level of podium is constructed, and the rest of the parking is put underground</t>
  </si>
  <si>
    <t>&lt;parking units for the new units</t>
  </si>
  <si>
    <t>Calucation for what the rent would need to be to be affordable</t>
  </si>
  <si>
    <t>NOI Gap per Unit</t>
  </si>
  <si>
    <t>&lt;input from the 'Tool' page</t>
  </si>
  <si>
    <t>Net Operating Expense + NOI Gap</t>
  </si>
  <si>
    <t>NOI Gap Calc</t>
  </si>
  <si>
    <t>&lt;final result</t>
  </si>
  <si>
    <t>&lt;input from 'Pro Forma' page "NOI Gap per Unit"</t>
  </si>
  <si>
    <t>Residential Inputs</t>
  </si>
  <si>
    <t>Parking Subtotal</t>
  </si>
  <si>
    <t>Number of Units (w/out remainder space)</t>
  </si>
  <si>
    <t>&lt;this number adjusts based on total retail square feet</t>
  </si>
  <si>
    <t>Residential + (Retail Area if used) (gsf)</t>
  </si>
  <si>
    <t>&lt;this section calculates the remaining space that was reserved for podium, that could be used for residential square feet</t>
  </si>
  <si>
    <t>Efficiency</t>
  </si>
  <si>
    <t>&lt;this shows the total square footage that two levels of podium parking could contain -based on Kristen's model numbers</t>
  </si>
  <si>
    <t>Parking by Type (w/out remainder) (gsf)</t>
  </si>
  <si>
    <t>Parking by Type (w/out remainder) (spaces)</t>
  </si>
  <si>
    <t>Total Parking (w/out remainder space)</t>
  </si>
  <si>
    <t>Parking by Type</t>
  </si>
  <si>
    <t>Available Podium Parking (gsf)</t>
  </si>
  <si>
    <t>Parking w/Remainder (gsf)</t>
  </si>
  <si>
    <t>&lt;if there's available space in the podium levels, then the remainder goes here</t>
  </si>
  <si>
    <t>&lt;if there not enough space in the podium levels, then parking is put under ground</t>
  </si>
  <si>
    <t>FINAL Parking by Type (gsf)</t>
  </si>
  <si>
    <t>FINAL Parking by Type (spaces)</t>
  </si>
  <si>
    <t>FINAL Total Parking Spaces</t>
  </si>
  <si>
    <t xml:space="preserve">FINAL Residential </t>
  </si>
  <si>
    <t xml:space="preserve">&lt;units that could be added in the space not occupied by podium (1 unit subtracted to allow for </t>
  </si>
  <si>
    <t>Test</t>
  </si>
  <si>
    <t>Podium Parking</t>
  </si>
  <si>
    <t>Margin</t>
  </si>
  <si>
    <t>Remainder Residential and Parking</t>
  </si>
  <si>
    <t>Remainder Residential Units</t>
  </si>
  <si>
    <t>Remainder Parking Spaces</t>
  </si>
  <si>
    <t>Remainder Parking Spaces w/ discount</t>
  </si>
  <si>
    <t>Total Remainder Parking (gsf)</t>
  </si>
  <si>
    <t>Remainder (gsf)</t>
  </si>
  <si>
    <t>Remainder (nsf)</t>
  </si>
  <si>
    <t>Total Remainder Residential (gsf)</t>
  </si>
  <si>
    <t>Highly Likely</t>
  </si>
  <si>
    <t>Feasibility Results</t>
  </si>
  <si>
    <t>Target Yield-on-cost</t>
  </si>
  <si>
    <t>&lt;this accounts for hole cut in the middle of the development as an air/light well</t>
  </si>
  <si>
    <t>Air/Light Well Calc. For Residential</t>
  </si>
  <si>
    <t>Total sf needed for Air/Light Well</t>
  </si>
  <si>
    <t>Maximum 2nd Floor (gsf)</t>
  </si>
  <si>
    <t>Maximum 2nd Floor residential (gsf)</t>
  </si>
  <si>
    <t>&lt;should the second level of podium be built, than no additional residential is added, but should there only be one level of podium parking, that podium space is used for residential - minus space for the air/light well</t>
  </si>
  <si>
    <t>Policy Options</t>
  </si>
  <si>
    <t>Building Details</t>
  </si>
  <si>
    <t>Notes:</t>
  </si>
  <si>
    <t>1. Number of Stories</t>
  </si>
  <si>
    <t>&lt;not using parking discount: discount value zeroed out in parking tab</t>
  </si>
  <si>
    <t>100% Retail</t>
  </si>
  <si>
    <t>25% Retail &amp; 75% Residential</t>
  </si>
  <si>
    <t>100% Residential</t>
  </si>
  <si>
    <t>Market Rate Apartment</t>
  </si>
  <si>
    <t>Below Market Rate Apartment</t>
  </si>
  <si>
    <t xml:space="preserve">500 sq. ft. </t>
  </si>
  <si>
    <t xml:space="preserve">645 sq. ft. </t>
  </si>
  <si>
    <t xml:space="preserve">800 sq. ft. </t>
  </si>
  <si>
    <t xml:space="preserve">Retail </t>
  </si>
  <si>
    <t>N/A</t>
  </si>
  <si>
    <t>Source: CoStar, 2021; HCD, 2020; City of Santa Cruz, 2021; Strategic Economics, 2021.</t>
  </si>
  <si>
    <t>Monthly Rent per Market-Rate Unit</t>
  </si>
  <si>
    <t>3. Residential Unit Mix</t>
  </si>
  <si>
    <t>Spaces per Residential Unit</t>
  </si>
  <si>
    <t>Rent Required More than Market-Rate?</t>
  </si>
  <si>
    <t>Rent Required for Target Yield-on-cost</t>
  </si>
  <si>
    <t>Santa Cruz Development Feasibility Calculator</t>
  </si>
  <si>
    <t>Underground Parking Spaces (c)</t>
  </si>
  <si>
    <t>Yield-on-cost (d)</t>
  </si>
  <si>
    <t>Total Residential (gsf)</t>
  </si>
  <si>
    <t>Dynamic Prototype</t>
  </si>
  <si>
    <t>Parcel Size</t>
  </si>
  <si>
    <t>FAR (2.75 = Maximum Allowable)</t>
  </si>
  <si>
    <t>Overview</t>
  </si>
  <si>
    <t>Space per Sq. Ft. of Retail (b)</t>
  </si>
  <si>
    <t>(b) Current retail parking requirements:
     • Shops/Fitness: 1 space per 250 sq. ft. of retail area
     • Restaurants: 1 space per 120 sq. ft. of retail area</t>
  </si>
  <si>
    <t>(d) Projects achieving a Yield-on-Cost of 5.50% or greater are more likely to be built.</t>
  </si>
  <si>
    <t xml:space="preserve">(c) Less than 10 underground parking units are unlikely to be built. Should less than 10 additional parking spaces be required beyond what would fit in the podium space, developers might try to accomidate the additional spaces in the podium using stackers, or they might reduce the number of parking spaces by reducing the number of units. </t>
  </si>
  <si>
    <t>Ground Floor Frontage Options</t>
  </si>
  <si>
    <t>WORKSHEET CONTENTS:</t>
  </si>
  <si>
    <t>COLOR CODING GUIDE</t>
  </si>
  <si>
    <t>SANTA CRUZ FINANCIAL FEASIBILITY CALCULATOR</t>
  </si>
  <si>
    <t>KEY INPUTS</t>
  </si>
  <si>
    <t>This worksheet contains the assumptions for the financial feasibility analysis, including development costs and revenues.</t>
  </si>
  <si>
    <t>TOOL WORKSHEET</t>
  </si>
  <si>
    <t>This is a tool for calculating the feasibility of new housing and mixed-use development in Santa Cruz. It is designed to provide information about the impact of land use policies (height, unit mix by size, parking, and retail requirements) on the likelihood of development to inform future decisions on development standards.</t>
  </si>
  <si>
    <t>Cells in blue text represent intermediate calculations performed by the model. They are provided for information purposes and are not editable by the user.</t>
  </si>
  <si>
    <t>This worksheet calculates the financial feasibility results. The following policy options can be chosen:
-- Number of stories (3, 4, or 5 stories) 
-- Ground floor frontage (100% residential, 25% retail and 75% residential, or 100% retail)
-- Residential unit mix (studios and 1-bedroom units; studios, 1-bedroom, and some 2-bedroom units; studios, 1-bedroom, and more 2-bedroom units) 
-- Parking ratios for residential units and for ground-floor retail space</t>
  </si>
  <si>
    <r>
      <t>&gt;&gt;&gt;</t>
    </r>
    <r>
      <rPr>
        <u/>
        <sz val="9"/>
        <color theme="1"/>
        <rFont val="Arial"/>
        <family val="2"/>
      </rPr>
      <t>Please click</t>
    </r>
    <r>
      <rPr>
        <sz val="9"/>
        <color theme="1"/>
        <rFont val="Arial"/>
        <family val="2"/>
      </rPr>
      <t xml:space="preserve"> within the red boxes and select options from the dropdown list to test different development scenarios.</t>
    </r>
  </si>
  <si>
    <r>
      <t>2. Ground Floor Frontage</t>
    </r>
    <r>
      <rPr>
        <sz val="10"/>
        <color theme="1"/>
        <rFont val="Arial"/>
        <family val="2"/>
      </rPr>
      <t xml:space="preserve"> (a)</t>
    </r>
  </si>
  <si>
    <t xml:space="preserve">Green cells are the policy options that can be selected by the user. They represent the inputs to the financial feasibility calculator. </t>
  </si>
  <si>
    <t>Cells in red boxes and text represent results that are inconsistent with the current real estate market or with the City's current development standards.</t>
  </si>
  <si>
    <t>(a) Ground floor frontage includes a strip space with a limited depth facing the street.</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</si>
</sst>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10409]&quot;$&quot;#,##0.00;\(&quot;$&quot;#,##0.00\)"/>
    <numFmt numFmtId="168" formatCode="0.0"/>
    <numFmt numFmtId="169" formatCode="&quot;Office @ &quot;&quot;$&quot;###&quot; per SF&quot;"/>
    <numFmt numFmtId="170" formatCode="&quot;$&quot;0.0,,"/>
    <numFmt numFmtId="171" formatCode="0.000%"/>
    <numFmt numFmtId="172" formatCode="0.000"/>
    <numFmt numFmtId="173" formatCode="_(* #,##0_);_(* \(#,##0\);_(* &quot;-&quot;??_);_(@_)"/>
    <numFmt numFmtId="174" formatCode="#,##0.0"/>
    <numFmt numFmtId="175" formatCode="_(* #,##0.0_);_(* \(#,##0.0\);_(* &quot;-&quot;??_);_(@_)"/>
    <numFmt numFmtId="176" formatCode="_(* #,##0.000_);_(* \(#,##0.000\);_(* &quot;-&quot;??_);_(@_)"/>
    <numFmt numFmtId="177" formatCode="&quot;$&quot;#,##0.0_);[Red]\(&quot;$&quot;#,##0.0\)"/>
    <numFmt numFmtId="178" formatCode="\$#,##0"/>
    <numFmt numFmtId="179" formatCode="#0.#######"/>
    <numFmt numFmtId="180" formatCode="_(&quot;$&quot;* #,##0_);_(&quot;$&quot;* \(#,##0\);_(&quot;$&quot;* &quot;-&quot;??_);_(@_)"/>
    <numFmt numFmtId="181" formatCode="&quot;$&quot;0.00,,"/>
  </numFmts>
  <fonts count="86" x14ac:knownFonts="1">
    <font>
      <sz val="9"/>
      <color theme="1"/>
      <name val="Arial"/>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1"/>
      <color theme="1"/>
      <name val="Calibri"/>
      <family val="2"/>
      <scheme val="minor"/>
    </font>
    <font>
      <b/>
      <sz val="9"/>
      <color theme="1"/>
      <name val="Arial"/>
      <family val="2"/>
    </font>
    <font>
      <sz val="9"/>
      <color theme="1"/>
      <name val="Arial"/>
      <family val="2"/>
    </font>
    <font>
      <i/>
      <sz val="9"/>
      <color theme="1"/>
      <name val="Arial"/>
      <family val="2"/>
    </font>
    <font>
      <sz val="10"/>
      <color theme="1"/>
      <name val="Arial"/>
      <family val="2"/>
    </font>
    <font>
      <b/>
      <i/>
      <sz val="9"/>
      <color theme="1"/>
      <name val="Arial"/>
      <family val="2"/>
    </font>
    <font>
      <sz val="12"/>
      <name val="Times New Roman"/>
      <family val="1"/>
    </font>
    <font>
      <u/>
      <sz val="9"/>
      <color theme="1"/>
      <name val="Arial"/>
      <family val="2"/>
    </font>
    <font>
      <sz val="11"/>
      <color theme="1"/>
      <name val="Calibri"/>
      <family val="2"/>
      <scheme val="minor"/>
    </font>
    <font>
      <sz val="8"/>
      <color theme="1"/>
      <name val="Arial"/>
      <family val="2"/>
    </font>
    <font>
      <sz val="8"/>
      <color theme="1"/>
      <name val="Franklin Gothic Book"/>
      <family val="2"/>
    </font>
    <font>
      <b/>
      <sz val="9"/>
      <color theme="1"/>
      <name val="Franklin Gothic Book"/>
      <family val="2"/>
    </font>
    <font>
      <sz val="9"/>
      <color theme="1"/>
      <name val="Franklin Gothic Book"/>
      <family val="2"/>
    </font>
    <font>
      <i/>
      <sz val="9"/>
      <color theme="1"/>
      <name val="Franklin Gothic Book"/>
      <family val="2"/>
    </font>
    <font>
      <b/>
      <sz val="11"/>
      <color theme="1"/>
      <name val="Franklin Gothic Book"/>
      <family val="2"/>
    </font>
    <font>
      <sz val="10"/>
      <color theme="1"/>
      <name val="Franklin Gothic Book"/>
      <family val="2"/>
    </font>
    <font>
      <b/>
      <i/>
      <sz val="10"/>
      <color theme="1"/>
      <name val="Franklin Gothic Book"/>
      <family val="2"/>
    </font>
    <font>
      <b/>
      <sz val="10"/>
      <color theme="1"/>
      <name val="Franklin Gothic Book"/>
      <family val="2"/>
    </font>
    <font>
      <i/>
      <sz val="10"/>
      <color theme="1"/>
      <name val="Franklin Gothic Book"/>
      <family val="2"/>
    </font>
    <font>
      <u/>
      <sz val="10"/>
      <color theme="1"/>
      <name val="Franklin Gothic Book"/>
      <family val="2"/>
    </font>
    <font>
      <sz val="10"/>
      <name val="Franklin Gothic Book"/>
      <family val="2"/>
    </font>
    <font>
      <u val="singleAccounting"/>
      <sz val="10"/>
      <color theme="1"/>
      <name val="Franklin Gothic Book"/>
      <family val="2"/>
    </font>
    <font>
      <i/>
      <u val="singleAccounting"/>
      <sz val="10"/>
      <color theme="1"/>
      <name val="Franklin Gothic Book"/>
      <family val="2"/>
    </font>
    <font>
      <u val="doubleAccounting"/>
      <sz val="10"/>
      <color theme="1"/>
      <name val="Franklin Gothic Book"/>
      <family val="2"/>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sz val="12"/>
      <color rgb="FFFA7D00"/>
      <name val="Calibri"/>
      <family val="2"/>
      <scheme val="minor"/>
    </font>
    <font>
      <i/>
      <sz val="12"/>
      <color rgb="FF7F7F7F"/>
      <name val="Calibri"/>
      <family val="2"/>
      <scheme val="minor"/>
    </font>
    <font>
      <b/>
      <sz val="11"/>
      <color theme="1"/>
      <name val="Calibri"/>
      <family val="2"/>
      <scheme val="minor"/>
    </font>
    <font>
      <b/>
      <sz val="11"/>
      <color rgb="FF3F3F76"/>
      <name val="Calibri"/>
      <family val="2"/>
      <scheme val="minor"/>
    </font>
    <font>
      <b/>
      <sz val="11"/>
      <color rgb="FF9C5700"/>
      <name val="Calibri"/>
      <family val="2"/>
      <scheme val="minor"/>
    </font>
    <font>
      <sz val="10"/>
      <color rgb="FFFF0000"/>
      <name val="Franklin Gothic Book"/>
      <family val="2"/>
    </font>
    <font>
      <b/>
      <sz val="10"/>
      <name val="Franklin Gothic Book"/>
      <family val="2"/>
    </font>
    <font>
      <b/>
      <sz val="11"/>
      <name val="Calibri"/>
      <family val="2"/>
    </font>
    <font>
      <sz val="11"/>
      <color rgb="FFFF0000"/>
      <name val="Calibri"/>
      <family val="2"/>
      <scheme val="minor"/>
    </font>
    <font>
      <b/>
      <sz val="12"/>
      <color theme="1"/>
      <name val="Calibri"/>
      <family val="2"/>
      <scheme val="minor"/>
    </font>
    <font>
      <sz val="11"/>
      <color rgb="FF006100"/>
      <name val="Calibri"/>
      <family val="2"/>
      <scheme val="minor"/>
    </font>
    <font>
      <sz val="11"/>
      <color rgb="FFFA7D00"/>
      <name val="Calibri"/>
      <family val="2"/>
      <scheme val="minor"/>
    </font>
    <font>
      <sz val="11"/>
      <color rgb="FF9C0006"/>
      <name val="Calibri"/>
      <family val="2"/>
      <scheme val="minor"/>
    </font>
    <font>
      <b/>
      <sz val="11"/>
      <color rgb="FF9C0006"/>
      <name val="Calibri"/>
      <family val="2"/>
      <scheme val="minor"/>
    </font>
    <font>
      <b/>
      <sz val="11"/>
      <color rgb="FF006100"/>
      <name val="Calibri"/>
      <family val="2"/>
      <scheme val="minor"/>
    </font>
    <font>
      <sz val="11"/>
      <color rgb="FF9C5700"/>
      <name val="Calibri"/>
      <family val="2"/>
      <scheme val="minor"/>
    </font>
    <font>
      <i/>
      <sz val="11"/>
      <color rgb="FF7F7F7F"/>
      <name val="Calibri"/>
      <family val="2"/>
      <scheme val="minor"/>
    </font>
    <font>
      <b/>
      <sz val="22"/>
      <color theme="1"/>
      <name val="Calibri"/>
      <family val="2"/>
      <scheme val="minor"/>
    </font>
    <font>
      <sz val="9"/>
      <color rgb="FFFF0000"/>
      <name val="Franklin Gothic Book"/>
      <family val="2"/>
    </font>
    <font>
      <i/>
      <sz val="11"/>
      <color theme="1"/>
      <name val="Calibri"/>
      <family val="2"/>
      <scheme val="minor"/>
    </font>
    <font>
      <i/>
      <sz val="11"/>
      <color rgb="FFFF0000"/>
      <name val="Calibri"/>
      <family val="2"/>
      <scheme val="minor"/>
    </font>
    <font>
      <sz val="9"/>
      <color theme="0"/>
      <name val="Arial"/>
      <family val="2"/>
    </font>
    <font>
      <b/>
      <u/>
      <sz val="9"/>
      <color theme="1"/>
      <name val="Arial"/>
      <family val="2"/>
    </font>
    <font>
      <b/>
      <sz val="10"/>
      <color theme="0"/>
      <name val="Arial"/>
      <family val="2"/>
    </font>
    <font>
      <b/>
      <sz val="16"/>
      <color theme="1"/>
      <name val="Arial"/>
      <family val="2"/>
    </font>
    <font>
      <b/>
      <sz val="12"/>
      <color theme="1"/>
      <name val="Arial"/>
      <family val="2"/>
    </font>
    <font>
      <b/>
      <u/>
      <sz val="12"/>
      <color theme="1"/>
      <name val="Arial"/>
      <family val="2"/>
    </font>
    <font>
      <sz val="10"/>
      <color theme="0"/>
      <name val="Arial"/>
      <family val="2"/>
    </font>
    <font>
      <sz val="9"/>
      <color theme="4" tint="-0.499984740745262"/>
      <name val="Arial"/>
      <family val="2"/>
    </font>
    <font>
      <b/>
      <u/>
      <sz val="14"/>
      <color theme="4" tint="-0.499984740745262"/>
      <name val="Arial"/>
      <family val="2"/>
    </font>
    <font>
      <b/>
      <u/>
      <sz val="11"/>
      <color theme="0"/>
      <name val="Arial"/>
      <family val="2"/>
    </font>
    <font>
      <b/>
      <i/>
      <u/>
      <sz val="14"/>
      <color theme="4" tint="-0.499984740745262"/>
      <name val="Arial"/>
      <family val="2"/>
    </font>
    <font>
      <b/>
      <i/>
      <sz val="16"/>
      <color theme="0"/>
      <name val="Arial"/>
      <family val="2"/>
    </font>
    <font>
      <i/>
      <sz val="16"/>
      <color theme="0"/>
      <name val="Arial"/>
      <family val="2"/>
    </font>
    <font>
      <i/>
      <sz val="16"/>
      <color theme="1"/>
      <name val="Arial"/>
      <family val="2"/>
    </font>
    <font>
      <sz val="10"/>
      <color theme="4" tint="-0.499984740745262"/>
      <name val="Arial"/>
      <family val="2"/>
    </font>
    <font>
      <b/>
      <sz val="10"/>
      <color theme="4" tint="-0.499984740745262"/>
      <name val="Arial"/>
      <family val="2"/>
    </font>
    <font>
      <u/>
      <sz val="10"/>
      <color theme="1"/>
      <name val="Arial"/>
      <family val="2"/>
    </font>
    <font>
      <b/>
      <i/>
      <sz val="22"/>
      <color theme="4" tint="-0.499984740745262"/>
      <name val="Arial"/>
      <family val="2"/>
    </font>
    <font>
      <i/>
      <u/>
      <sz val="8"/>
      <color theme="4" tint="-0.499984740745262"/>
      <name val="Arial"/>
      <family val="2"/>
    </font>
    <font>
      <sz val="11"/>
      <color theme="1"/>
      <name val="Franklin Gothic Book"/>
      <family val="2"/>
    </font>
    <font>
      <i/>
      <sz val="10"/>
      <color rgb="FF000000"/>
      <name val="Franklin Gothic Book"/>
      <family val="2"/>
    </font>
    <font>
      <b/>
      <sz val="11"/>
      <color theme="0"/>
      <name val="Franklin Gothic Book"/>
      <family val="2"/>
    </font>
    <font>
      <i/>
      <sz val="10"/>
      <name val="Franklin Gothic Book"/>
      <family val="2"/>
    </font>
    <font>
      <i/>
      <sz val="10"/>
      <color theme="8" tint="-0.499984740745262"/>
      <name val="Franklin Gothic Book"/>
      <family val="2"/>
    </font>
    <font>
      <b/>
      <i/>
      <sz val="16"/>
      <color theme="1"/>
      <name val="Arial"/>
      <family val="2"/>
    </font>
    <font>
      <b/>
      <sz val="11"/>
      <color theme="1"/>
      <name val="Arial"/>
      <family val="2"/>
    </font>
    <font>
      <i/>
      <sz val="10"/>
      <color rgb="FFC00000"/>
      <name val="Franklin Gothic Book"/>
      <family val="2"/>
    </font>
    <font>
      <i/>
      <u/>
      <sz val="8"/>
      <color theme="1"/>
      <name val="Arial"/>
      <family val="2"/>
    </font>
    <font>
      <i/>
      <sz val="8"/>
      <color theme="1"/>
      <name val="Arial"/>
      <family val="2"/>
    </font>
  </fonts>
  <fills count="32">
    <fill>
      <patternFill patternType="none"/>
    </fill>
    <fill>
      <patternFill patternType="gray125"/>
    </fill>
    <fill>
      <patternFill patternType="solid">
        <fgColor theme="8"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00"/>
        <bgColor indexed="64"/>
      </patternFill>
    </fill>
    <fill>
      <patternFill patternType="solid">
        <fgColor theme="9"/>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99CC"/>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bgColor indexed="64"/>
      </patternFill>
    </fill>
    <fill>
      <patternFill patternType="solid">
        <fgColor theme="1"/>
        <bgColor indexed="64"/>
      </patternFill>
    </fill>
    <fill>
      <patternFill patternType="solid">
        <fgColor rgb="FFFF0000"/>
        <bgColor indexed="64"/>
      </patternFill>
    </fill>
    <fill>
      <patternFill patternType="solid">
        <fgColor rgb="FF3DA1B9"/>
        <bgColor indexed="64"/>
      </patternFill>
    </fill>
    <fill>
      <patternFill patternType="solid">
        <fgColor rgb="FF4D79C7"/>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FFC1C1"/>
        <bgColor indexed="64"/>
      </patternFill>
    </fill>
  </fills>
  <borders count="40">
    <border>
      <left/>
      <right/>
      <top/>
      <bottom/>
      <diagonal/>
    </border>
    <border>
      <left/>
      <right/>
      <top/>
      <bottom style="thin">
        <color auto="1"/>
      </bottom>
      <diagonal/>
    </border>
    <border>
      <left/>
      <right/>
      <top style="thin">
        <color auto="1"/>
      </top>
      <bottom/>
      <diagonal/>
    </border>
    <border>
      <left/>
      <right/>
      <top style="thin">
        <color auto="1"/>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bottom style="medium">
        <color indexed="64"/>
      </bottom>
      <diagonal/>
    </border>
    <border>
      <left style="thin">
        <color theme="8" tint="-0.249977111117893"/>
      </left>
      <right/>
      <top style="thin">
        <color theme="8" tint="-0.249977111117893"/>
      </top>
      <bottom style="thin">
        <color theme="8" tint="-0.249977111117893"/>
      </bottom>
      <diagonal/>
    </border>
    <border>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medium">
        <color theme="9" tint="-0.499984740745262"/>
      </left>
      <right style="medium">
        <color theme="9" tint="-0.499984740745262"/>
      </right>
      <top style="medium">
        <color theme="9" tint="-0.499984740745262"/>
      </top>
      <bottom/>
      <diagonal/>
    </border>
    <border>
      <left style="medium">
        <color theme="9" tint="-0.499984740745262"/>
      </left>
      <right style="medium">
        <color theme="9" tint="-0.499984740745262"/>
      </right>
      <top/>
      <bottom style="medium">
        <color theme="9" tint="-0.499984740745262"/>
      </bottom>
      <diagonal/>
    </border>
    <border>
      <left style="thin">
        <color rgb="FFFF0000"/>
      </left>
      <right/>
      <top/>
      <bottom/>
      <diagonal/>
    </border>
  </borders>
  <cellStyleXfs count="23">
    <xf numFmtId="0" fontId="0" fillId="0" borderId="0"/>
    <xf numFmtId="9" fontId="10" fillId="0" borderId="0" applyFont="0" applyFill="0" applyBorder="0" applyAlignment="0" applyProtection="0"/>
    <xf numFmtId="0" fontId="12" fillId="0" borderId="0"/>
    <xf numFmtId="167" fontId="14" fillId="0" borderId="0"/>
    <xf numFmtId="0" fontId="16" fillId="0" borderId="0"/>
    <xf numFmtId="44" fontId="10" fillId="0" borderId="0" applyFont="0" applyFill="0" applyBorder="0" applyAlignment="0" applyProtection="0"/>
    <xf numFmtId="43" fontId="10" fillId="0" borderId="0" applyFont="0" applyFill="0" applyBorder="0" applyAlignment="0" applyProtection="0"/>
    <xf numFmtId="0" fontId="32" fillId="9" borderId="0" applyNumberFormat="0" applyBorder="0" applyAlignment="0" applyProtection="0"/>
    <xf numFmtId="0" fontId="33" fillId="10" borderId="0" applyNumberFormat="0" applyBorder="0" applyAlignment="0" applyProtection="0"/>
    <xf numFmtId="0" fontId="34" fillId="11" borderId="0" applyNumberFormat="0" applyBorder="0" applyAlignment="0" applyProtection="0"/>
    <xf numFmtId="0" fontId="35" fillId="12" borderId="10" applyNumberFormat="0" applyAlignment="0" applyProtection="0"/>
    <xf numFmtId="0" fontId="36" fillId="0" borderId="11" applyNumberFormat="0" applyFill="0" applyAlignment="0" applyProtection="0"/>
    <xf numFmtId="0" fontId="37" fillId="0" borderId="0" applyNumberFormat="0" applyFill="0" applyBorder="0" applyAlignment="0" applyProtection="0"/>
    <xf numFmtId="0" fontId="46" fillId="9" borderId="0" applyNumberFormat="0" applyBorder="0" applyAlignment="0" applyProtection="0"/>
    <xf numFmtId="43" fontId="16" fillId="0" borderId="0" applyFont="0" applyFill="0" applyBorder="0" applyAlignment="0" applyProtection="0"/>
    <xf numFmtId="0" fontId="47" fillId="0" borderId="11" applyNumberFormat="0" applyFill="0" applyAlignment="0" applyProtection="0"/>
    <xf numFmtId="0" fontId="48" fillId="10" borderId="0" applyNumberFormat="0" applyBorder="0" applyAlignment="0" applyProtection="0"/>
    <xf numFmtId="9" fontId="16" fillId="0" borderId="0" applyFont="0" applyFill="0" applyBorder="0" applyAlignment="0" applyProtection="0"/>
    <xf numFmtId="0" fontId="51" fillId="11" borderId="0" applyNumberFormat="0" applyBorder="0" applyAlignment="0" applyProtection="0"/>
    <xf numFmtId="0" fontId="52" fillId="0" borderId="0" applyNumberForma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cellStyleXfs>
  <cellXfs count="755">
    <xf numFmtId="0" fontId="0" fillId="0" borderId="0" xfId="0"/>
    <xf numFmtId="0" fontId="9" fillId="0" borderId="0" xfId="0" applyFont="1"/>
    <xf numFmtId="0" fontId="9" fillId="0" borderId="1" xfId="0" applyFont="1" applyBorder="1"/>
    <xf numFmtId="0" fontId="0" fillId="0" borderId="0" xfId="0" applyBorder="1"/>
    <xf numFmtId="0" fontId="0" fillId="0" borderId="1" xfId="0" applyBorder="1"/>
    <xf numFmtId="0" fontId="9" fillId="0" borderId="0" xfId="0" applyFont="1" applyBorder="1"/>
    <xf numFmtId="0" fontId="0" fillId="0" borderId="0" xfId="0" applyFill="1" applyBorder="1"/>
    <xf numFmtId="0" fontId="0" fillId="0" borderId="0" xfId="0" applyFont="1" applyBorder="1"/>
    <xf numFmtId="0" fontId="0" fillId="0" borderId="2" xfId="0" applyBorder="1"/>
    <xf numFmtId="0" fontId="0" fillId="3" borderId="1" xfId="0" applyFill="1" applyBorder="1"/>
    <xf numFmtId="0" fontId="11" fillId="0" borderId="0" xfId="0" applyFont="1"/>
    <xf numFmtId="0" fontId="9" fillId="0" borderId="2" xfId="0" applyFont="1" applyBorder="1"/>
    <xf numFmtId="0" fontId="0" fillId="0" borderId="2" xfId="0" applyFill="1" applyBorder="1"/>
    <xf numFmtId="9" fontId="0" fillId="0" borderId="0" xfId="0" applyNumberFormat="1" applyBorder="1"/>
    <xf numFmtId="0" fontId="9" fillId="0" borderId="0" xfId="0" applyFont="1" applyFill="1" applyBorder="1"/>
    <xf numFmtId="0" fontId="0" fillId="0" borderId="0" xfId="0" applyFont="1" applyFill="1" applyBorder="1"/>
    <xf numFmtId="0" fontId="10" fillId="0" borderId="2" xfId="0" applyFont="1" applyBorder="1"/>
    <xf numFmtId="0" fontId="10" fillId="0" borderId="0" xfId="0" applyFont="1"/>
    <xf numFmtId="164" fontId="10" fillId="0" borderId="0" xfId="0" applyNumberFormat="1" applyFont="1"/>
    <xf numFmtId="164" fontId="10" fillId="0" borderId="0" xfId="0" applyNumberFormat="1" applyFont="1" applyFill="1"/>
    <xf numFmtId="0" fontId="10" fillId="0" borderId="1" xfId="0" applyFont="1" applyBorder="1"/>
    <xf numFmtId="164" fontId="10" fillId="0" borderId="1" xfId="0" applyNumberFormat="1" applyFont="1" applyFill="1" applyBorder="1"/>
    <xf numFmtId="0" fontId="10" fillId="0" borderId="0" xfId="0" applyFont="1" applyBorder="1"/>
    <xf numFmtId="165" fontId="0" fillId="0" borderId="0" xfId="0" applyNumberFormat="1" applyBorder="1"/>
    <xf numFmtId="0" fontId="9" fillId="0" borderId="1" xfId="0" applyFont="1" applyFill="1" applyBorder="1"/>
    <xf numFmtId="165" fontId="0" fillId="0" borderId="1" xfId="0" applyNumberFormat="1" applyBorder="1"/>
    <xf numFmtId="0" fontId="0" fillId="0" borderId="0" xfId="0" applyAlignment="1">
      <alignment horizontal="left" indent="1"/>
    </xf>
    <xf numFmtId="9" fontId="0" fillId="0" borderId="0" xfId="1" applyFont="1"/>
    <xf numFmtId="3" fontId="0" fillId="0" borderId="0" xfId="0" applyNumberFormat="1"/>
    <xf numFmtId="10" fontId="0" fillId="0" borderId="0" xfId="1" applyNumberFormat="1" applyFont="1" applyFill="1" applyBorder="1"/>
    <xf numFmtId="0" fontId="0" fillId="0" borderId="0" xfId="0" applyAlignment="1">
      <alignment horizontal="right"/>
    </xf>
    <xf numFmtId="0" fontId="9" fillId="0" borderId="1" xfId="0" applyFont="1" applyBorder="1" applyAlignment="1">
      <alignment horizontal="right"/>
    </xf>
    <xf numFmtId="0" fontId="15" fillId="0" borderId="0" xfId="0" applyFont="1"/>
    <xf numFmtId="2" fontId="0" fillId="0" borderId="0" xfId="0" applyNumberFormat="1"/>
    <xf numFmtId="0" fontId="9" fillId="0" borderId="0" xfId="0" applyFont="1" applyBorder="1" applyAlignment="1">
      <alignment horizontal="right"/>
    </xf>
    <xf numFmtId="3" fontId="0" fillId="0" borderId="1" xfId="0" applyNumberFormat="1" applyBorder="1"/>
    <xf numFmtId="0" fontId="9" fillId="0" borderId="2" xfId="0" applyFont="1" applyBorder="1" applyAlignment="1">
      <alignment horizontal="right"/>
    </xf>
    <xf numFmtId="3" fontId="0" fillId="0" borderId="0" xfId="0" applyNumberFormat="1" applyBorder="1"/>
    <xf numFmtId="2" fontId="0" fillId="0" borderId="0" xfId="0" applyNumberFormat="1" applyBorder="1"/>
    <xf numFmtId="3" fontId="15" fillId="0" borderId="0" xfId="0" applyNumberFormat="1" applyFont="1" applyBorder="1"/>
    <xf numFmtId="2" fontId="15" fillId="0" borderId="0" xfId="0" applyNumberFormat="1" applyFont="1" applyBorder="1"/>
    <xf numFmtId="0" fontId="0" fillId="0" borderId="0" xfId="0" applyBorder="1" applyAlignment="1">
      <alignment horizontal="left" indent="1"/>
    </xf>
    <xf numFmtId="0" fontId="0" fillId="0" borderId="1" xfId="0" applyBorder="1" applyAlignment="1">
      <alignment horizontal="left" indent="1"/>
    </xf>
    <xf numFmtId="2" fontId="0" fillId="0" borderId="1" xfId="0" applyNumberFormat="1" applyBorder="1"/>
    <xf numFmtId="0" fontId="13" fillId="0" borderId="0" xfId="0" applyFont="1" applyBorder="1"/>
    <xf numFmtId="3" fontId="13" fillId="0" borderId="0" xfId="0" applyNumberFormat="1" applyFont="1" applyBorder="1"/>
    <xf numFmtId="2" fontId="13" fillId="0" borderId="0" xfId="0" applyNumberFormat="1" applyFont="1" applyBorder="1"/>
    <xf numFmtId="0" fontId="13" fillId="0" borderId="0" xfId="0" applyFont="1" applyFill="1" applyBorder="1"/>
    <xf numFmtId="0" fontId="13" fillId="0" borderId="0" xfId="0" applyFont="1" applyBorder="1" applyAlignment="1">
      <alignment horizontal="left" indent="1"/>
    </xf>
    <xf numFmtId="3" fontId="0" fillId="0" borderId="0" xfId="0" applyNumberFormat="1" applyFont="1" applyBorder="1"/>
    <xf numFmtId="2" fontId="0" fillId="0" borderId="0" xfId="0" applyNumberFormat="1" applyFont="1" applyBorder="1"/>
    <xf numFmtId="0" fontId="0" fillId="0" borderId="0" xfId="0" applyBorder="1" applyAlignment="1">
      <alignment horizontal="left"/>
    </xf>
    <xf numFmtId="0" fontId="15" fillId="0" borderId="0" xfId="0" applyFont="1" applyBorder="1" applyAlignment="1">
      <alignment horizontal="left" indent="1"/>
    </xf>
    <xf numFmtId="0" fontId="0" fillId="0" borderId="0" xfId="0" applyFont="1" applyBorder="1" applyAlignment="1">
      <alignment horizontal="left" indent="1"/>
    </xf>
    <xf numFmtId="0" fontId="0" fillId="0" borderId="1" xfId="0" applyFill="1" applyBorder="1"/>
    <xf numFmtId="168" fontId="0" fillId="0" borderId="0" xfId="0" applyNumberFormat="1" applyBorder="1"/>
    <xf numFmtId="0" fontId="19" fillId="0" borderId="0" xfId="0" applyFont="1" applyBorder="1"/>
    <xf numFmtId="0" fontId="20" fillId="0" borderId="0" xfId="0" applyFont="1"/>
    <xf numFmtId="0" fontId="21" fillId="0" borderId="0" xfId="0" applyFont="1"/>
    <xf numFmtId="0" fontId="20" fillId="0" borderId="0" xfId="0" applyFont="1" applyBorder="1"/>
    <xf numFmtId="0" fontId="20" fillId="0" borderId="0" xfId="0" applyFont="1" applyAlignment="1">
      <alignment horizontal="right"/>
    </xf>
    <xf numFmtId="0" fontId="21" fillId="0" borderId="0" xfId="0" applyFont="1" applyFill="1"/>
    <xf numFmtId="0" fontId="21" fillId="0" borderId="0" xfId="0" applyFont="1" applyBorder="1"/>
    <xf numFmtId="3" fontId="20" fillId="0" borderId="0" xfId="0" applyNumberFormat="1" applyFont="1" applyAlignment="1">
      <alignment horizontal="right"/>
    </xf>
    <xf numFmtId="0" fontId="20" fillId="0" borderId="0" xfId="0" applyFont="1" applyBorder="1" applyAlignment="1">
      <alignment horizontal="right"/>
    </xf>
    <xf numFmtId="9" fontId="20" fillId="0" borderId="0" xfId="1" applyFont="1"/>
    <xf numFmtId="0" fontId="20" fillId="0" borderId="0" xfId="0" applyFont="1" applyFill="1"/>
    <xf numFmtId="3" fontId="20" fillId="0" borderId="0" xfId="0" applyNumberFormat="1" applyFont="1"/>
    <xf numFmtId="2" fontId="20" fillId="0" borderId="0" xfId="0" applyNumberFormat="1" applyFont="1"/>
    <xf numFmtId="0" fontId="22" fillId="0" borderId="0" xfId="0" applyFont="1"/>
    <xf numFmtId="0" fontId="22" fillId="0" borderId="0" xfId="0" applyFont="1" applyFill="1" applyBorder="1"/>
    <xf numFmtId="0" fontId="22" fillId="0" borderId="0" xfId="0" applyFont="1" applyBorder="1"/>
    <xf numFmtId="0" fontId="23" fillId="0" borderId="0" xfId="0" applyFont="1"/>
    <xf numFmtId="0" fontId="23" fillId="0" borderId="0" xfId="0" applyFont="1" applyAlignment="1">
      <alignment horizontal="right"/>
    </xf>
    <xf numFmtId="0" fontId="24" fillId="0" borderId="0" xfId="0" applyFont="1"/>
    <xf numFmtId="0" fontId="23" fillId="2" borderId="0" xfId="0" applyFont="1" applyFill="1"/>
    <xf numFmtId="0" fontId="25" fillId="0" borderId="2" xfId="0" applyFont="1" applyBorder="1"/>
    <xf numFmtId="0" fontId="23" fillId="0" borderId="2" xfId="0" applyFont="1" applyBorder="1" applyAlignment="1">
      <alignment horizontal="right"/>
    </xf>
    <xf numFmtId="0" fontId="25" fillId="0" borderId="0" xfId="0" applyFont="1" applyBorder="1"/>
    <xf numFmtId="0" fontId="25" fillId="0" borderId="0" xfId="0" applyFont="1" applyBorder="1" applyAlignment="1">
      <alignment horizontal="right" wrapText="1"/>
    </xf>
    <xf numFmtId="0" fontId="25" fillId="0" borderId="0" xfId="0" applyFont="1" applyBorder="1" applyAlignment="1">
      <alignment horizontal="center"/>
    </xf>
    <xf numFmtId="3" fontId="23" fillId="0" borderId="0" xfId="0" applyNumberFormat="1" applyFont="1"/>
    <xf numFmtId="0" fontId="23" fillId="0" borderId="0" xfId="0" applyFont="1" applyBorder="1"/>
    <xf numFmtId="0" fontId="23" fillId="0" borderId="0" xfId="0" applyFont="1" applyFill="1" applyBorder="1"/>
    <xf numFmtId="2" fontId="23" fillId="0" borderId="0" xfId="0" applyNumberFormat="1" applyFont="1" applyBorder="1" applyAlignment="1">
      <alignment horizontal="right"/>
    </xf>
    <xf numFmtId="0" fontId="26" fillId="0" borderId="0" xfId="0" applyFont="1" applyBorder="1"/>
    <xf numFmtId="3" fontId="23" fillId="0" borderId="0" xfId="0" applyNumberFormat="1" applyFont="1" applyBorder="1" applyAlignment="1">
      <alignment horizontal="right"/>
    </xf>
    <xf numFmtId="9" fontId="23" fillId="0" borderId="0" xfId="1" applyFont="1" applyBorder="1" applyAlignment="1">
      <alignment horizontal="right"/>
    </xf>
    <xf numFmtId="0" fontId="23" fillId="0" borderId="0" xfId="0" applyFont="1" applyBorder="1" applyAlignment="1">
      <alignment horizontal="right"/>
    </xf>
    <xf numFmtId="0" fontId="26" fillId="0" borderId="0" xfId="0" applyFont="1"/>
    <xf numFmtId="0" fontId="23" fillId="2" borderId="1" xfId="0" applyFont="1" applyFill="1" applyBorder="1"/>
    <xf numFmtId="0" fontId="25" fillId="0" borderId="0" xfId="0" applyFont="1" applyBorder="1" applyAlignment="1">
      <alignment horizontal="right"/>
    </xf>
    <xf numFmtId="2" fontId="23" fillId="0" borderId="0" xfId="0" applyNumberFormat="1" applyFont="1"/>
    <xf numFmtId="3" fontId="23" fillId="0" borderId="0" xfId="0" applyNumberFormat="1" applyFont="1" applyBorder="1" applyAlignment="1">
      <alignment horizontal="right" vertical="center"/>
    </xf>
    <xf numFmtId="0" fontId="23" fillId="0" borderId="0" xfId="0" applyFont="1" applyBorder="1" applyAlignment="1">
      <alignment horizontal="left"/>
    </xf>
    <xf numFmtId="4" fontId="23" fillId="0" borderId="0" xfId="0" applyNumberFormat="1" applyFont="1" applyBorder="1" applyAlignment="1">
      <alignment horizontal="right"/>
    </xf>
    <xf numFmtId="9" fontId="26" fillId="0" borderId="0" xfId="1" applyFont="1" applyBorder="1"/>
    <xf numFmtId="0" fontId="23" fillId="0" borderId="0" xfId="0" applyFont="1" applyBorder="1" applyAlignment="1">
      <alignment horizontal="left" indent="1"/>
    </xf>
    <xf numFmtId="0" fontId="27" fillId="0" borderId="0" xfId="0" applyFont="1" applyBorder="1" applyAlignment="1">
      <alignment horizontal="left" indent="1"/>
    </xf>
    <xf numFmtId="3" fontId="27" fillId="0" borderId="0" xfId="0" applyNumberFormat="1" applyFont="1" applyBorder="1" applyAlignment="1">
      <alignment horizontal="right"/>
    </xf>
    <xf numFmtId="0" fontId="25" fillId="0" borderId="0" xfId="0" applyFont="1" applyBorder="1" applyAlignment="1">
      <alignment horizontal="left" indent="1"/>
    </xf>
    <xf numFmtId="3" fontId="25" fillId="0" borderId="0" xfId="0" applyNumberFormat="1" applyFont="1" applyBorder="1" applyAlignment="1">
      <alignment horizontal="right"/>
    </xf>
    <xf numFmtId="0" fontId="23" fillId="0" borderId="1" xfId="0" applyFont="1" applyBorder="1"/>
    <xf numFmtId="0" fontId="23" fillId="0" borderId="1" xfId="0" applyFont="1" applyBorder="1" applyAlignment="1">
      <alignment horizontal="right"/>
    </xf>
    <xf numFmtId="3" fontId="23" fillId="0" borderId="0" xfId="0" applyNumberFormat="1" applyFont="1" applyAlignment="1">
      <alignment horizontal="right"/>
    </xf>
    <xf numFmtId="0" fontId="23" fillId="0" borderId="3" xfId="0" applyFont="1" applyBorder="1"/>
    <xf numFmtId="0" fontId="25" fillId="0" borderId="3" xfId="0" applyFont="1" applyBorder="1" applyAlignment="1">
      <alignment horizontal="center"/>
    </xf>
    <xf numFmtId="0" fontId="25" fillId="0" borderId="3" xfId="0" applyFont="1" applyBorder="1" applyAlignment="1">
      <alignment horizontal="center" wrapText="1"/>
    </xf>
    <xf numFmtId="0" fontId="25" fillId="0" borderId="3" xfId="0" applyFont="1" applyFill="1" applyBorder="1"/>
    <xf numFmtId="0" fontId="23" fillId="6" borderId="0" xfId="0" applyFont="1" applyFill="1" applyBorder="1"/>
    <xf numFmtId="0" fontId="25" fillId="5" borderId="0" xfId="0" applyFont="1" applyFill="1" applyBorder="1"/>
    <xf numFmtId="0" fontId="23" fillId="5" borderId="0" xfId="0" applyFont="1" applyFill="1"/>
    <xf numFmtId="0" fontId="26" fillId="0" borderId="0" xfId="0" applyFont="1" applyFill="1"/>
    <xf numFmtId="0" fontId="23" fillId="0" borderId="0" xfId="0" applyFont="1" applyBorder="1" applyAlignment="1">
      <alignment horizontal="center"/>
    </xf>
    <xf numFmtId="164" fontId="28" fillId="0" borderId="0" xfId="5" applyNumberFormat="1" applyFont="1" applyFill="1" applyBorder="1" applyAlignment="1">
      <alignment horizontal="center"/>
    </xf>
    <xf numFmtId="0" fontId="26" fillId="0" borderId="0" xfId="0" applyFont="1" applyBorder="1" applyAlignment="1">
      <alignment horizontal="center"/>
    </xf>
    <xf numFmtId="6" fontId="28" fillId="4" borderId="0" xfId="0" applyNumberFormat="1" applyFont="1" applyFill="1" applyBorder="1" applyAlignment="1">
      <alignment horizontal="center"/>
    </xf>
    <xf numFmtId="0" fontId="23" fillId="5" borderId="0" xfId="0" applyFont="1" applyFill="1" applyBorder="1"/>
    <xf numFmtId="6" fontId="23" fillId="0" borderId="0" xfId="0" applyNumberFormat="1" applyFont="1" applyFill="1" applyBorder="1" applyAlignment="1">
      <alignment horizontal="center"/>
    </xf>
    <xf numFmtId="0" fontId="26" fillId="0" borderId="0" xfId="0" applyFont="1" applyFill="1" applyBorder="1"/>
    <xf numFmtId="0" fontId="23" fillId="0" borderId="0" xfId="0" applyFont="1" applyFill="1" applyBorder="1" applyAlignment="1">
      <alignment horizontal="left"/>
    </xf>
    <xf numFmtId="6" fontId="23" fillId="0" borderId="0" xfId="0" applyNumberFormat="1" applyFont="1"/>
    <xf numFmtId="0" fontId="27" fillId="0" borderId="0" xfId="0" applyFont="1" applyAlignment="1">
      <alignment horizontal="right"/>
    </xf>
    <xf numFmtId="6" fontId="23" fillId="0" borderId="0" xfId="0" applyNumberFormat="1" applyFont="1" applyFill="1" applyAlignment="1">
      <alignment horizontal="center"/>
    </xf>
    <xf numFmtId="0" fontId="23" fillId="0" borderId="0" xfId="0" applyFont="1" applyFill="1" applyBorder="1" applyAlignment="1">
      <alignment horizontal="left" indent="1"/>
    </xf>
    <xf numFmtId="165" fontId="23" fillId="0" borderId="0" xfId="0" applyNumberFormat="1" applyFont="1" applyBorder="1" applyAlignment="1">
      <alignment horizontal="center"/>
    </xf>
    <xf numFmtId="0" fontId="25" fillId="5" borderId="0" xfId="0" applyFont="1" applyFill="1" applyBorder="1" applyAlignment="1">
      <alignment horizontal="center"/>
    </xf>
    <xf numFmtId="0" fontId="23" fillId="0" borderId="0" xfId="0" applyFont="1" applyBorder="1" applyAlignment="1">
      <alignment horizontal="left" wrapText="1"/>
    </xf>
    <xf numFmtId="166" fontId="23" fillId="0" borderId="0" xfId="1" applyNumberFormat="1" applyFont="1" applyFill="1" applyBorder="1" applyAlignment="1">
      <alignment horizontal="center"/>
    </xf>
    <xf numFmtId="0" fontId="27" fillId="0" borderId="0" xfId="0" applyFont="1" applyBorder="1" applyAlignment="1">
      <alignment horizontal="left" wrapText="1"/>
    </xf>
    <xf numFmtId="0" fontId="27" fillId="0" borderId="0" xfId="0" applyFont="1" applyBorder="1" applyAlignment="1">
      <alignment horizontal="center"/>
    </xf>
    <xf numFmtId="166" fontId="27" fillId="0" borderId="0" xfId="1" applyNumberFormat="1" applyFont="1" applyFill="1" applyBorder="1" applyAlignment="1">
      <alignment horizontal="center"/>
    </xf>
    <xf numFmtId="0" fontId="25" fillId="0" borderId="0" xfId="0" applyFont="1" applyBorder="1" applyAlignment="1">
      <alignment horizontal="left" wrapText="1"/>
    </xf>
    <xf numFmtId="166" fontId="25" fillId="0" borderId="0" xfId="1" applyNumberFormat="1" applyFont="1" applyFill="1" applyBorder="1" applyAlignment="1">
      <alignment horizontal="center"/>
    </xf>
    <xf numFmtId="0" fontId="26" fillId="0" borderId="0" xfId="0" applyFont="1" applyBorder="1" applyAlignment="1">
      <alignment horizontal="left" wrapText="1"/>
    </xf>
    <xf numFmtId="164" fontId="26" fillId="0" borderId="0" xfId="1" applyNumberFormat="1" applyFont="1" applyAlignment="1">
      <alignment horizontal="center"/>
    </xf>
    <xf numFmtId="0" fontId="25" fillId="5" borderId="0" xfId="0" applyFont="1" applyFill="1" applyBorder="1" applyAlignment="1">
      <alignment horizontal="left" wrapText="1"/>
    </xf>
    <xf numFmtId="0" fontId="24" fillId="0" borderId="0" xfId="0" applyFont="1" applyFill="1" applyBorder="1"/>
    <xf numFmtId="9" fontId="23" fillId="0" borderId="0" xfId="0" applyNumberFormat="1" applyFont="1" applyBorder="1" applyAlignment="1">
      <alignment horizontal="center"/>
    </xf>
    <xf numFmtId="167" fontId="28" fillId="0" borderId="0" xfId="2" applyNumberFormat="1" applyFont="1" applyFill="1" applyBorder="1" applyAlignment="1">
      <alignment horizontal="left" wrapText="1"/>
    </xf>
    <xf numFmtId="167" fontId="28" fillId="0" borderId="0" xfId="3" applyFont="1" applyFill="1" applyBorder="1" applyAlignment="1">
      <alignment horizontal="left" wrapText="1"/>
    </xf>
    <xf numFmtId="166" fontId="23" fillId="0" borderId="0" xfId="0" applyNumberFormat="1" applyFont="1" applyBorder="1" applyAlignment="1">
      <alignment horizontal="center"/>
    </xf>
    <xf numFmtId="1" fontId="23" fillId="0" borderId="0" xfId="0" applyNumberFormat="1" applyFont="1" applyBorder="1" applyAlignment="1">
      <alignment horizontal="center"/>
    </xf>
    <xf numFmtId="167" fontId="28" fillId="7" borderId="0" xfId="3" applyFont="1" applyFill="1" applyBorder="1" applyAlignment="1">
      <alignment horizontal="left" wrapText="1"/>
    </xf>
    <xf numFmtId="0" fontId="23" fillId="7" borderId="0" xfId="0" applyFont="1" applyFill="1" applyBorder="1" applyAlignment="1">
      <alignment horizontal="center"/>
    </xf>
    <xf numFmtId="1" fontId="23" fillId="7" borderId="0" xfId="0" applyNumberFormat="1" applyFont="1" applyFill="1" applyBorder="1" applyAlignment="1">
      <alignment horizontal="center"/>
    </xf>
    <xf numFmtId="167" fontId="28" fillId="7" borderId="0" xfId="3" applyFont="1" applyFill="1" applyBorder="1" applyAlignment="1">
      <alignment horizontal="left" wrapText="1" indent="1"/>
    </xf>
    <xf numFmtId="10" fontId="23" fillId="7" borderId="0" xfId="1" applyNumberFormat="1" applyFont="1" applyFill="1" applyBorder="1" applyAlignment="1">
      <alignment horizontal="center"/>
    </xf>
    <xf numFmtId="167" fontId="28" fillId="0" borderId="0" xfId="3" applyFont="1" applyFill="1" applyBorder="1" applyAlignment="1">
      <alignment horizontal="left" wrapText="1" indent="1"/>
    </xf>
    <xf numFmtId="0" fontId="23" fillId="0" borderId="0" xfId="0" applyFont="1" applyFill="1" applyBorder="1" applyAlignment="1">
      <alignment horizontal="center"/>
    </xf>
    <xf numFmtId="10" fontId="23" fillId="0" borderId="0" xfId="1" applyNumberFormat="1" applyFont="1" applyFill="1" applyBorder="1" applyAlignment="1">
      <alignment horizontal="center"/>
    </xf>
    <xf numFmtId="0" fontId="23" fillId="5" borderId="0" xfId="0" applyFont="1" applyFill="1" applyBorder="1" applyAlignment="1">
      <alignment horizontal="center"/>
    </xf>
    <xf numFmtId="9" fontId="23" fillId="5" borderId="0" xfId="0" applyNumberFormat="1" applyFont="1" applyFill="1" applyBorder="1" applyAlignment="1">
      <alignment horizontal="center"/>
    </xf>
    <xf numFmtId="166" fontId="23" fillId="0" borderId="0" xfId="0" applyNumberFormat="1" applyFont="1" applyFill="1" applyBorder="1" applyAlignment="1">
      <alignment horizontal="center"/>
    </xf>
    <xf numFmtId="0" fontId="23" fillId="0" borderId="1" xfId="0" applyFont="1" applyFill="1" applyBorder="1"/>
    <xf numFmtId="0" fontId="23" fillId="0" borderId="1" xfId="0" applyFont="1" applyBorder="1" applyAlignment="1">
      <alignment horizontal="center"/>
    </xf>
    <xf numFmtId="166" fontId="23" fillId="0" borderId="1" xfId="0" applyNumberFormat="1" applyFont="1" applyBorder="1" applyAlignment="1">
      <alignment horizontal="center"/>
    </xf>
    <xf numFmtId="0" fontId="26" fillId="0" borderId="1" xfId="0" applyFont="1" applyFill="1" applyBorder="1"/>
    <xf numFmtId="164" fontId="23" fillId="0" borderId="0" xfId="0" applyNumberFormat="1" applyFont="1"/>
    <xf numFmtId="0" fontId="25" fillId="0" borderId="0" xfId="0" applyFont="1"/>
    <xf numFmtId="1" fontId="23" fillId="0" borderId="0" xfId="0" applyNumberFormat="1" applyFont="1" applyFill="1" applyBorder="1" applyAlignment="1">
      <alignment horizontal="center"/>
    </xf>
    <xf numFmtId="8" fontId="23" fillId="0" borderId="0" xfId="0" applyNumberFormat="1" applyFont="1" applyFill="1" applyBorder="1" applyAlignment="1">
      <alignment horizontal="center"/>
    </xf>
    <xf numFmtId="6" fontId="26" fillId="0" borderId="0" xfId="0" applyNumberFormat="1" applyFont="1" applyFill="1" applyBorder="1"/>
    <xf numFmtId="9" fontId="23" fillId="0" borderId="0" xfId="0" applyNumberFormat="1" applyFont="1" applyFill="1" applyBorder="1" applyAlignment="1">
      <alignment horizontal="center"/>
    </xf>
    <xf numFmtId="6" fontId="26" fillId="0" borderId="0" xfId="0" applyNumberFormat="1" applyFont="1" applyFill="1" applyBorder="1" applyAlignment="1">
      <alignment horizontal="left"/>
    </xf>
    <xf numFmtId="6" fontId="23" fillId="0" borderId="0" xfId="0" applyNumberFormat="1" applyFont="1" applyFill="1" applyAlignment="1">
      <alignment horizontal="left"/>
    </xf>
    <xf numFmtId="0" fontId="26" fillId="0" borderId="0" xfId="0" applyFont="1" applyBorder="1" applyAlignment="1">
      <alignment horizontal="left" indent="1"/>
    </xf>
    <xf numFmtId="10" fontId="23" fillId="0" borderId="0" xfId="0" applyNumberFormat="1" applyFont="1" applyBorder="1" applyAlignment="1">
      <alignment horizontal="center"/>
    </xf>
    <xf numFmtId="0" fontId="23" fillId="0" borderId="2" xfId="0" applyFont="1" applyBorder="1"/>
    <xf numFmtId="0" fontId="25" fillId="0" borderId="2" xfId="0" applyFont="1" applyBorder="1" applyAlignment="1">
      <alignment horizontal="center"/>
    </xf>
    <xf numFmtId="0" fontId="25" fillId="0" borderId="2" xfId="0" applyFont="1" applyBorder="1" applyAlignment="1">
      <alignment horizontal="center" wrapText="1"/>
    </xf>
    <xf numFmtId="0" fontId="25" fillId="0" borderId="2" xfId="0" applyFont="1" applyFill="1" applyBorder="1"/>
    <xf numFmtId="0" fontId="24" fillId="0" borderId="0" xfId="0" applyFont="1" applyBorder="1" applyAlignment="1"/>
    <xf numFmtId="0" fontId="24" fillId="0" borderId="0" xfId="0" applyFont="1" applyBorder="1" applyAlignment="1">
      <alignment horizontal="center"/>
    </xf>
    <xf numFmtId="0" fontId="23" fillId="0" borderId="4" xfId="0" applyFont="1" applyBorder="1"/>
    <xf numFmtId="3" fontId="23" fillId="0" borderId="5" xfId="0" applyNumberFormat="1" applyFont="1" applyBorder="1" applyAlignment="1">
      <alignment horizontal="right"/>
    </xf>
    <xf numFmtId="0" fontId="23" fillId="0" borderId="6" xfId="0" applyFont="1" applyBorder="1"/>
    <xf numFmtId="3" fontId="23" fillId="0" borderId="7" xfId="0" applyNumberFormat="1" applyFont="1" applyBorder="1" applyAlignment="1">
      <alignment horizontal="right"/>
    </xf>
    <xf numFmtId="0" fontId="23" fillId="0" borderId="6" xfId="0" applyFont="1" applyFill="1" applyBorder="1"/>
    <xf numFmtId="0" fontId="23" fillId="0" borderId="8" xfId="0" applyFont="1" applyBorder="1"/>
    <xf numFmtId="3" fontId="23" fillId="0" borderId="9" xfId="0" applyNumberFormat="1" applyFont="1" applyBorder="1" applyAlignment="1">
      <alignment horizontal="right"/>
    </xf>
    <xf numFmtId="3" fontId="23" fillId="0" borderId="1" xfId="0" applyNumberFormat="1" applyFont="1" applyBorder="1" applyAlignment="1">
      <alignment horizontal="right"/>
    </xf>
    <xf numFmtId="170" fontId="23" fillId="0" borderId="0" xfId="0" applyNumberFormat="1" applyFont="1" applyBorder="1" applyAlignment="1">
      <alignment horizontal="right"/>
    </xf>
    <xf numFmtId="0" fontId="29" fillId="0" borderId="0" xfId="0" applyFont="1" applyBorder="1"/>
    <xf numFmtId="170" fontId="29" fillId="0" borderId="0" xfId="0" applyNumberFormat="1" applyFont="1" applyBorder="1" applyAlignment="1">
      <alignment horizontal="right"/>
    </xf>
    <xf numFmtId="170" fontId="25" fillId="0" borderId="0" xfId="0" applyNumberFormat="1" applyFont="1" applyBorder="1" applyAlignment="1">
      <alignment horizontal="right"/>
    </xf>
    <xf numFmtId="0" fontId="25" fillId="0" borderId="0" xfId="0" applyFont="1" applyFill="1" applyBorder="1" applyAlignment="1">
      <alignment horizontal="left" wrapText="1"/>
    </xf>
    <xf numFmtId="0" fontId="23" fillId="0" borderId="0" xfId="0" applyFont="1" applyBorder="1" applyAlignment="1">
      <alignment horizontal="left" wrapText="1" indent="1"/>
    </xf>
    <xf numFmtId="0" fontId="29" fillId="0" borderId="0" xfId="0" applyFont="1" applyBorder="1" applyAlignment="1">
      <alignment horizontal="left" wrapText="1" indent="1"/>
    </xf>
    <xf numFmtId="169" fontId="25" fillId="0" borderId="0" xfId="0" applyNumberFormat="1" applyFont="1" applyFill="1" applyBorder="1" applyAlignment="1">
      <alignment horizontal="left" wrapText="1" indent="1"/>
    </xf>
    <xf numFmtId="0" fontId="26" fillId="0" borderId="0" xfId="0" applyFont="1" applyFill="1" applyBorder="1" applyAlignment="1">
      <alignment horizontal="left" indent="2"/>
    </xf>
    <xf numFmtId="0" fontId="27" fillId="0" borderId="0" xfId="0" applyFont="1" applyBorder="1" applyAlignment="1">
      <alignment horizontal="left" wrapText="1" indent="1"/>
    </xf>
    <xf numFmtId="0" fontId="23" fillId="0" borderId="0" xfId="0" applyFont="1" applyFill="1" applyBorder="1" applyAlignment="1">
      <alignment horizontal="left" wrapText="1" indent="1"/>
    </xf>
    <xf numFmtId="170" fontId="23" fillId="0" borderId="0" xfId="0" applyNumberFormat="1" applyFont="1" applyFill="1" applyBorder="1" applyAlignment="1">
      <alignment horizontal="right"/>
    </xf>
    <xf numFmtId="0" fontId="25" fillId="0" borderId="0" xfId="0" applyFont="1" applyFill="1" applyBorder="1" applyAlignment="1">
      <alignment horizontal="left" wrapText="1" indent="1"/>
    </xf>
    <xf numFmtId="171" fontId="23" fillId="0" borderId="0" xfId="1" applyNumberFormat="1" applyFont="1" applyBorder="1" applyAlignment="1">
      <alignment horizontal="right"/>
    </xf>
    <xf numFmtId="0" fontId="31" fillId="0" borderId="0" xfId="0" applyFont="1" applyFill="1" applyBorder="1" applyAlignment="1">
      <alignment horizontal="left" indent="1"/>
    </xf>
    <xf numFmtId="170" fontId="31" fillId="0" borderId="0" xfId="0" applyNumberFormat="1" applyFont="1" applyBorder="1" applyAlignment="1">
      <alignment horizontal="right"/>
    </xf>
    <xf numFmtId="170" fontId="26" fillId="0" borderId="0" xfId="0" applyNumberFormat="1" applyFont="1" applyAlignment="1">
      <alignment horizontal="right"/>
    </xf>
    <xf numFmtId="9" fontId="26" fillId="0" borderId="0" xfId="1" applyFont="1" applyAlignment="1">
      <alignment horizontal="right"/>
    </xf>
    <xf numFmtId="170" fontId="23" fillId="0" borderId="0" xfId="0" applyNumberFormat="1" applyFont="1" applyBorder="1" applyAlignment="1">
      <alignment horizontal="right" wrapText="1"/>
    </xf>
    <xf numFmtId="170" fontId="29" fillId="0" borderId="0" xfId="0" applyNumberFormat="1" applyFont="1" applyAlignment="1">
      <alignment horizontal="right"/>
    </xf>
    <xf numFmtId="170" fontId="23" fillId="0" borderId="0" xfId="0" applyNumberFormat="1" applyFont="1" applyAlignment="1">
      <alignment horizontal="right"/>
    </xf>
    <xf numFmtId="9" fontId="23" fillId="0" borderId="0" xfId="1" applyFont="1" applyAlignment="1">
      <alignment horizontal="right"/>
    </xf>
    <xf numFmtId="10" fontId="25" fillId="0" borderId="0" xfId="1" applyNumberFormat="1" applyFont="1"/>
    <xf numFmtId="10" fontId="23" fillId="0" borderId="1" xfId="1" applyNumberFormat="1" applyFont="1" applyBorder="1"/>
    <xf numFmtId="170" fontId="23" fillId="0" borderId="0" xfId="0" applyNumberFormat="1" applyFont="1"/>
    <xf numFmtId="0" fontId="23" fillId="0" borderId="0" xfId="0" applyFont="1" applyFill="1"/>
    <xf numFmtId="165" fontId="23" fillId="0" borderId="0" xfId="0" applyNumberFormat="1" applyFont="1"/>
    <xf numFmtId="0" fontId="25" fillId="8" borderId="0" xfId="0" applyFont="1" applyFill="1" applyBorder="1"/>
    <xf numFmtId="0" fontId="23" fillId="8" borderId="0" xfId="0" applyFont="1" applyFill="1"/>
    <xf numFmtId="9" fontId="0" fillId="0" borderId="0" xfId="0" applyNumberFormat="1"/>
    <xf numFmtId="170" fontId="30" fillId="0" borderId="0" xfId="0" applyNumberFormat="1" applyFont="1" applyFill="1" applyBorder="1" applyAlignment="1">
      <alignment horizontal="right"/>
    </xf>
    <xf numFmtId="0" fontId="38" fillId="0" borderId="0" xfId="0" applyFont="1"/>
    <xf numFmtId="173" fontId="38" fillId="0" borderId="0" xfId="6" applyNumberFormat="1" applyFont="1"/>
    <xf numFmtId="173" fontId="38" fillId="0" borderId="0" xfId="6" applyNumberFormat="1" applyFont="1" applyAlignment="1">
      <alignment horizontal="left"/>
    </xf>
    <xf numFmtId="43" fontId="38" fillId="0" borderId="0" xfId="0" applyNumberFormat="1" applyFont="1"/>
    <xf numFmtId="173" fontId="0" fillId="0" borderId="0" xfId="6" applyNumberFormat="1" applyFont="1"/>
    <xf numFmtId="43" fontId="0" fillId="0" borderId="0" xfId="0" applyNumberFormat="1"/>
    <xf numFmtId="0" fontId="37" fillId="0" borderId="0" xfId="12"/>
    <xf numFmtId="173" fontId="0" fillId="0" borderId="0" xfId="0" applyNumberFormat="1"/>
    <xf numFmtId="174" fontId="0" fillId="0" borderId="0" xfId="1" applyNumberFormat="1" applyFont="1"/>
    <xf numFmtId="175" fontId="0" fillId="0" borderId="0" xfId="0" applyNumberFormat="1"/>
    <xf numFmtId="168" fontId="0" fillId="0" borderId="0" xfId="0" applyNumberFormat="1"/>
    <xf numFmtId="175" fontId="38" fillId="0" borderId="0" xfId="0" applyNumberFormat="1" applyFont="1"/>
    <xf numFmtId="0" fontId="39" fillId="12" borderId="10" xfId="10" applyFont="1"/>
    <xf numFmtId="0" fontId="40" fillId="11" borderId="0" xfId="9" applyFont="1"/>
    <xf numFmtId="0" fontId="34" fillId="11" borderId="0" xfId="9"/>
    <xf numFmtId="0" fontId="38" fillId="0" borderId="0" xfId="0" applyFont="1" applyAlignment="1">
      <alignment vertical="top"/>
    </xf>
    <xf numFmtId="0" fontId="36" fillId="0" borderId="11" xfId="11"/>
    <xf numFmtId="0" fontId="38" fillId="0" borderId="2" xfId="0" applyFont="1" applyBorder="1"/>
    <xf numFmtId="173" fontId="38" fillId="0" borderId="2" xfId="6" applyNumberFormat="1" applyFont="1" applyBorder="1"/>
    <xf numFmtId="2" fontId="32" fillId="9" borderId="2" xfId="7" applyNumberFormat="1" applyBorder="1"/>
    <xf numFmtId="2" fontId="38" fillId="0" borderId="2" xfId="0" applyNumberFormat="1" applyFont="1" applyBorder="1"/>
    <xf numFmtId="173" fontId="38" fillId="0" borderId="2" xfId="0" applyNumberFormat="1" applyFont="1" applyBorder="1"/>
    <xf numFmtId="2" fontId="33" fillId="10" borderId="2" xfId="8" applyNumberFormat="1" applyBorder="1"/>
    <xf numFmtId="173" fontId="38" fillId="0" borderId="0" xfId="0" applyNumberFormat="1" applyFont="1"/>
    <xf numFmtId="2" fontId="38" fillId="0" borderId="0" xfId="0" applyNumberFormat="1" applyFont="1"/>
    <xf numFmtId="172" fontId="0" fillId="0" borderId="0" xfId="0" applyNumberFormat="1"/>
    <xf numFmtId="9" fontId="0" fillId="13" borderId="0" xfId="0" applyNumberFormat="1" applyFill="1"/>
    <xf numFmtId="168" fontId="38" fillId="0" borderId="0" xfId="0" applyNumberFormat="1" applyFont="1"/>
    <xf numFmtId="176" fontId="0" fillId="0" borderId="0" xfId="0" applyNumberFormat="1"/>
    <xf numFmtId="0" fontId="0" fillId="14" borderId="0" xfId="0" applyFill="1" applyAlignment="1">
      <alignment horizontal="left" indent="1"/>
    </xf>
    <xf numFmtId="0" fontId="0" fillId="14" borderId="0" xfId="0" applyFill="1"/>
    <xf numFmtId="0" fontId="23" fillId="14" borderId="0" xfId="0" applyFont="1" applyFill="1" applyAlignment="1">
      <alignment horizontal="right"/>
    </xf>
    <xf numFmtId="1" fontId="23" fillId="0" borderId="0" xfId="0" applyNumberFormat="1" applyFont="1" applyBorder="1" applyAlignment="1">
      <alignment horizontal="right"/>
    </xf>
    <xf numFmtId="0" fontId="23" fillId="2" borderId="0" xfId="0" applyFont="1" applyFill="1" applyBorder="1"/>
    <xf numFmtId="3" fontId="23" fillId="0" borderId="0" xfId="0" applyNumberFormat="1" applyFont="1" applyFill="1" applyBorder="1" applyAlignment="1">
      <alignment horizontal="right"/>
    </xf>
    <xf numFmtId="3" fontId="23" fillId="13" borderId="0" xfId="0" applyNumberFormat="1" applyFont="1" applyFill="1" applyBorder="1" applyAlignment="1">
      <alignment horizontal="right" vertical="center"/>
    </xf>
    <xf numFmtId="4" fontId="20" fillId="0" borderId="0" xfId="0" applyNumberFormat="1" applyFont="1" applyAlignment="1">
      <alignment horizontal="right"/>
    </xf>
    <xf numFmtId="3" fontId="23" fillId="0" borderId="0" xfId="0" applyNumberFormat="1" applyFont="1" applyFill="1" applyBorder="1" applyAlignment="1">
      <alignment horizontal="right" vertical="center"/>
    </xf>
    <xf numFmtId="3" fontId="23" fillId="0" borderId="0" xfId="0" applyNumberFormat="1" applyFont="1" applyFill="1"/>
    <xf numFmtId="2" fontId="23" fillId="0" borderId="0" xfId="0" applyNumberFormat="1" applyFont="1" applyFill="1"/>
    <xf numFmtId="0" fontId="23" fillId="13" borderId="0" xfId="0" applyFont="1" applyFill="1" applyBorder="1"/>
    <xf numFmtId="1" fontId="23" fillId="13" borderId="0" xfId="0" applyNumberFormat="1" applyFont="1" applyFill="1" applyBorder="1" applyAlignment="1">
      <alignment horizontal="right"/>
    </xf>
    <xf numFmtId="3" fontId="23" fillId="13" borderId="0" xfId="0" applyNumberFormat="1" applyFont="1" applyFill="1" applyBorder="1" applyAlignment="1">
      <alignment horizontal="right"/>
    </xf>
    <xf numFmtId="0" fontId="26" fillId="13" borderId="0" xfId="0" applyFont="1" applyFill="1" applyBorder="1"/>
    <xf numFmtId="0" fontId="23" fillId="13" borderId="0" xfId="0" applyFont="1" applyFill="1"/>
    <xf numFmtId="0" fontId="26" fillId="13" borderId="0" xfId="0" applyFont="1" applyFill="1"/>
    <xf numFmtId="3" fontId="23" fillId="13" borderId="0" xfId="0" applyNumberFormat="1" applyFont="1" applyFill="1"/>
    <xf numFmtId="2" fontId="23" fillId="13" borderId="0" xfId="0" applyNumberFormat="1" applyFont="1" applyFill="1"/>
    <xf numFmtId="3" fontId="41" fillId="13" borderId="0" xfId="0" applyNumberFormat="1" applyFont="1" applyFill="1" applyBorder="1" applyAlignment="1">
      <alignment horizontal="right"/>
    </xf>
    <xf numFmtId="0" fontId="25" fillId="0" borderId="0" xfId="4" applyFont="1"/>
    <xf numFmtId="0" fontId="23" fillId="0" borderId="0" xfId="4" applyFont="1"/>
    <xf numFmtId="6" fontId="23" fillId="0" borderId="0" xfId="4" applyNumberFormat="1" applyFont="1"/>
    <xf numFmtId="0" fontId="23" fillId="15" borderId="0" xfId="4" applyFont="1" applyFill="1"/>
    <xf numFmtId="0" fontId="41" fillId="0" borderId="0" xfId="4" applyFont="1"/>
    <xf numFmtId="0" fontId="23" fillId="0" borderId="0" xfId="4" applyFont="1" applyAlignment="1">
      <alignment vertical="center"/>
    </xf>
    <xf numFmtId="9" fontId="25" fillId="0" borderId="3" xfId="4" applyNumberFormat="1" applyFont="1" applyBorder="1" applyAlignment="1">
      <alignment horizontal="left" vertical="center" wrapText="1"/>
    </xf>
    <xf numFmtId="0" fontId="25" fillId="0" borderId="3" xfId="4" applyFont="1" applyBorder="1" applyAlignment="1">
      <alignment horizontal="right" vertical="center"/>
    </xf>
    <xf numFmtId="9" fontId="23" fillId="0" borderId="0" xfId="4" applyNumberFormat="1" applyFont="1" applyAlignment="1">
      <alignment horizontal="left"/>
    </xf>
    <xf numFmtId="6" fontId="23" fillId="0" borderId="0" xfId="4" applyNumberFormat="1" applyFont="1" applyAlignment="1">
      <alignment horizontal="right"/>
    </xf>
    <xf numFmtId="9" fontId="23" fillId="0" borderId="1" xfId="4" applyNumberFormat="1" applyFont="1" applyBorder="1" applyAlignment="1">
      <alignment horizontal="left"/>
    </xf>
    <xf numFmtId="6" fontId="23" fillId="0" borderId="1" xfId="4" applyNumberFormat="1" applyFont="1" applyBorder="1" applyAlignment="1">
      <alignment horizontal="right"/>
    </xf>
    <xf numFmtId="0" fontId="41" fillId="0" borderId="0" xfId="4" applyFont="1" applyAlignment="1">
      <alignment horizontal="left"/>
    </xf>
    <xf numFmtId="0" fontId="42" fillId="0" borderId="0" xfId="4" applyFont="1" applyAlignment="1">
      <alignment horizontal="right"/>
    </xf>
    <xf numFmtId="0" fontId="23" fillId="16" borderId="0" xfId="4" applyFont="1" applyFill="1"/>
    <xf numFmtId="9" fontId="25" fillId="0" borderId="0" xfId="4" applyNumberFormat="1" applyFont="1" applyAlignment="1">
      <alignment horizontal="left"/>
    </xf>
    <xf numFmtId="0" fontId="25" fillId="0" borderId="0" xfId="4" applyFont="1" applyAlignment="1">
      <alignment horizontal="right"/>
    </xf>
    <xf numFmtId="0" fontId="25" fillId="0" borderId="3" xfId="4" applyFont="1" applyBorder="1"/>
    <xf numFmtId="0" fontId="25" fillId="0" borderId="3" xfId="4" applyFont="1" applyBorder="1" applyAlignment="1">
      <alignment horizontal="right"/>
    </xf>
    <xf numFmtId="6" fontId="25" fillId="0" borderId="0" xfId="4" applyNumberFormat="1" applyFont="1"/>
    <xf numFmtId="164" fontId="28" fillId="0" borderId="1" xfId="4" applyNumberFormat="1" applyFont="1" applyBorder="1" applyAlignment="1">
      <alignment horizontal="right"/>
    </xf>
    <xf numFmtId="177" fontId="23" fillId="0" borderId="0" xfId="4" applyNumberFormat="1" applyFont="1"/>
    <xf numFmtId="9" fontId="25" fillId="0" borderId="3" xfId="4" applyNumberFormat="1" applyFont="1" applyBorder="1" applyAlignment="1">
      <alignment horizontal="left"/>
    </xf>
    <xf numFmtId="6" fontId="23" fillId="0" borderId="1" xfId="4" applyNumberFormat="1" applyFont="1" applyBorder="1"/>
    <xf numFmtId="8" fontId="23" fillId="0" borderId="0" xfId="4" applyNumberFormat="1" applyFont="1"/>
    <xf numFmtId="0" fontId="42" fillId="0" borderId="3" xfId="4" applyFont="1" applyBorder="1"/>
    <xf numFmtId="164" fontId="25" fillId="0" borderId="3" xfId="4" applyNumberFormat="1" applyFont="1" applyBorder="1" applyAlignment="1">
      <alignment horizontal="right"/>
    </xf>
    <xf numFmtId="0" fontId="28" fillId="0" borderId="0" xfId="4" applyFont="1"/>
    <xf numFmtId="0" fontId="42" fillId="0" borderId="0" xfId="4" applyFont="1"/>
    <xf numFmtId="164" fontId="28" fillId="0" borderId="0" xfId="4" applyNumberFormat="1" applyFont="1"/>
    <xf numFmtId="164" fontId="25" fillId="0" borderId="0" xfId="4" applyNumberFormat="1" applyFont="1" applyAlignment="1">
      <alignment horizontal="right"/>
    </xf>
    <xf numFmtId="164" fontId="28" fillId="0" borderId="0" xfId="4" applyNumberFormat="1" applyFont="1" applyAlignment="1">
      <alignment horizontal="right"/>
    </xf>
    <xf numFmtId="0" fontId="42" fillId="0" borderId="1" xfId="4" applyFont="1" applyBorder="1"/>
    <xf numFmtId="164" fontId="42" fillId="0" borderId="1" xfId="4" applyNumberFormat="1" applyFont="1" applyBorder="1"/>
    <xf numFmtId="1" fontId="28" fillId="0" borderId="0" xfId="4" applyNumberFormat="1" applyFont="1"/>
    <xf numFmtId="164" fontId="42" fillId="0" borderId="0" xfId="4" applyNumberFormat="1" applyFont="1"/>
    <xf numFmtId="165" fontId="25" fillId="0" borderId="0" xfId="4" applyNumberFormat="1" applyFont="1"/>
    <xf numFmtId="2" fontId="23" fillId="0" borderId="0" xfId="4" applyNumberFormat="1" applyFont="1"/>
    <xf numFmtId="9" fontId="23" fillId="0" borderId="0" xfId="4" applyNumberFormat="1" applyFont="1"/>
    <xf numFmtId="9" fontId="23" fillId="0" borderId="12" xfId="4" applyNumberFormat="1" applyFont="1" applyBorder="1" applyAlignment="1">
      <alignment horizontal="left"/>
    </xf>
    <xf numFmtId="0" fontId="23" fillId="17" borderId="0" xfId="0" applyFont="1" applyFill="1" applyAlignment="1">
      <alignment horizontal="right"/>
    </xf>
    <xf numFmtId="0" fontId="23" fillId="17" borderId="1" xfId="0" applyFont="1" applyFill="1" applyBorder="1" applyAlignment="1">
      <alignment horizontal="right"/>
    </xf>
    <xf numFmtId="0" fontId="23" fillId="18" borderId="1" xfId="0" applyFont="1" applyFill="1" applyBorder="1" applyAlignment="1">
      <alignment horizontal="right"/>
    </xf>
    <xf numFmtId="4" fontId="23" fillId="0" borderId="5" xfId="0" applyNumberFormat="1" applyFont="1" applyBorder="1" applyAlignment="1">
      <alignment horizontal="right"/>
    </xf>
    <xf numFmtId="177" fontId="23" fillId="0" borderId="0" xfId="0" applyNumberFormat="1" applyFont="1" applyFill="1" applyBorder="1" applyAlignment="1">
      <alignment horizontal="center"/>
    </xf>
    <xf numFmtId="9" fontId="23" fillId="0" borderId="0" xfId="0" applyNumberFormat="1" applyFont="1"/>
    <xf numFmtId="0" fontId="43" fillId="0" borderId="0" xfId="0" applyFont="1"/>
    <xf numFmtId="1" fontId="43" fillId="0" borderId="0" xfId="0" applyNumberFormat="1" applyFont="1"/>
    <xf numFmtId="3" fontId="43" fillId="0" borderId="0" xfId="0" applyNumberFormat="1" applyFont="1"/>
    <xf numFmtId="178" fontId="43" fillId="0" borderId="0" xfId="0" applyNumberFormat="1" applyFont="1"/>
    <xf numFmtId="4" fontId="43" fillId="0" borderId="0" xfId="0" applyNumberFormat="1" applyFont="1"/>
    <xf numFmtId="14" fontId="43" fillId="0" borderId="0" xfId="0" applyNumberFormat="1" applyFont="1"/>
    <xf numFmtId="179" fontId="43" fillId="0" borderId="0" xfId="0" applyNumberFormat="1" applyFont="1"/>
    <xf numFmtId="0" fontId="0" fillId="13" borderId="0" xfId="0" applyFill="1"/>
    <xf numFmtId="1" fontId="44" fillId="13" borderId="0" xfId="0" applyNumberFormat="1" applyFont="1" applyFill="1"/>
    <xf numFmtId="3" fontId="0" fillId="13" borderId="0" xfId="0" applyNumberFormat="1" applyFill="1"/>
    <xf numFmtId="178" fontId="0" fillId="13" borderId="0" xfId="0" applyNumberFormat="1" applyFill="1"/>
    <xf numFmtId="4" fontId="0" fillId="13" borderId="0" xfId="0" applyNumberFormat="1" applyFill="1"/>
    <xf numFmtId="14" fontId="0" fillId="13" borderId="0" xfId="0" applyNumberFormat="1" applyFill="1"/>
    <xf numFmtId="1" fontId="0" fillId="13" borderId="0" xfId="0" applyNumberFormat="1" applyFill="1"/>
    <xf numFmtId="179" fontId="0" fillId="13" borderId="0" xfId="0" applyNumberFormat="1" applyFill="1"/>
    <xf numFmtId="0" fontId="16" fillId="13" borderId="0" xfId="0" applyFont="1" applyFill="1"/>
    <xf numFmtId="0" fontId="0" fillId="0" borderId="0" xfId="0" applyAlignment="1">
      <alignment horizontal="left" indent="2"/>
    </xf>
    <xf numFmtId="1" fontId="0" fillId="0" borderId="0" xfId="0" applyNumberFormat="1"/>
    <xf numFmtId="178" fontId="0" fillId="0" borderId="0" xfId="0" applyNumberFormat="1"/>
    <xf numFmtId="4" fontId="0" fillId="0" borderId="0" xfId="0" applyNumberFormat="1"/>
    <xf numFmtId="14" fontId="0" fillId="0" borderId="0" xfId="0" applyNumberFormat="1"/>
    <xf numFmtId="179" fontId="0" fillId="0" borderId="0" xfId="0" applyNumberFormat="1"/>
    <xf numFmtId="0" fontId="16" fillId="0" borderId="0" xfId="0" applyFont="1"/>
    <xf numFmtId="0" fontId="0" fillId="0" borderId="0" xfId="0" applyFill="1"/>
    <xf numFmtId="6" fontId="0" fillId="0" borderId="0" xfId="0" applyNumberFormat="1" applyAlignment="1">
      <alignment horizontal="left"/>
    </xf>
    <xf numFmtId="10" fontId="23" fillId="13" borderId="0" xfId="0" applyNumberFormat="1" applyFont="1" applyFill="1" applyBorder="1" applyAlignment="1">
      <alignment horizontal="center"/>
    </xf>
    <xf numFmtId="0" fontId="26" fillId="0" borderId="0" xfId="0" applyFont="1" applyFill="1" applyBorder="1" applyAlignment="1">
      <alignment horizontal="left" indent="1"/>
    </xf>
    <xf numFmtId="164" fontId="26" fillId="0" borderId="0" xfId="0" applyNumberFormat="1" applyFont="1" applyFill="1" applyBorder="1" applyAlignment="1">
      <alignment horizontal="right"/>
    </xf>
    <xf numFmtId="180" fontId="26" fillId="0" borderId="0" xfId="5" applyNumberFormat="1" applyFont="1" applyAlignment="1">
      <alignment horizontal="right"/>
    </xf>
    <xf numFmtId="9" fontId="23" fillId="0" borderId="0" xfId="1" applyFont="1"/>
    <xf numFmtId="0" fontId="18" fillId="17" borderId="1" xfId="0" applyFont="1" applyFill="1" applyBorder="1" applyAlignment="1">
      <alignment horizontal="right" wrapText="1"/>
    </xf>
    <xf numFmtId="0" fontId="18" fillId="18" borderId="1" xfId="0" applyFont="1" applyFill="1" applyBorder="1" applyAlignment="1">
      <alignment horizontal="right" wrapText="1"/>
    </xf>
    <xf numFmtId="2" fontId="23" fillId="0" borderId="7" xfId="0" applyNumberFormat="1" applyFont="1" applyBorder="1" applyAlignment="1">
      <alignment horizontal="right"/>
    </xf>
    <xf numFmtId="6" fontId="23" fillId="0" borderId="0" xfId="0" applyNumberFormat="1" applyFont="1" applyBorder="1" applyAlignment="1">
      <alignment horizontal="center"/>
    </xf>
    <xf numFmtId="164" fontId="23" fillId="0" borderId="0" xfId="0" applyNumberFormat="1" applyFont="1" applyFill="1"/>
    <xf numFmtId="0" fontId="23" fillId="0" borderId="0" xfId="0" applyFont="1" applyFill="1" applyAlignment="1">
      <alignment horizontal="left" indent="1"/>
    </xf>
    <xf numFmtId="170" fontId="23" fillId="0" borderId="0" xfId="0" applyNumberFormat="1" applyFont="1" applyFill="1"/>
    <xf numFmtId="0" fontId="29" fillId="0" borderId="0" xfId="0" applyFont="1" applyFill="1" applyAlignment="1">
      <alignment horizontal="left" indent="1"/>
    </xf>
    <xf numFmtId="170" fontId="29" fillId="0" borderId="0" xfId="0" applyNumberFormat="1" applyFont="1" applyFill="1"/>
    <xf numFmtId="0" fontId="26" fillId="0" borderId="0" xfId="0" applyFont="1" applyFill="1" applyAlignment="1">
      <alignment horizontal="left" indent="1"/>
    </xf>
    <xf numFmtId="170" fontId="26" fillId="0" borderId="0" xfId="0" applyNumberFormat="1" applyFont="1" applyFill="1"/>
    <xf numFmtId="166" fontId="23" fillId="0" borderId="0" xfId="1" applyNumberFormat="1" applyFont="1" applyFill="1"/>
    <xf numFmtId="0" fontId="32" fillId="9" borderId="0" xfId="7"/>
    <xf numFmtId="0" fontId="16" fillId="0" borderId="0" xfId="4"/>
    <xf numFmtId="173" fontId="46" fillId="9" borderId="0" xfId="13" applyNumberFormat="1"/>
    <xf numFmtId="173" fontId="38" fillId="0" borderId="0" xfId="14" applyNumberFormat="1" applyFont="1"/>
    <xf numFmtId="0" fontId="38" fillId="0" borderId="0" xfId="4" applyFont="1"/>
    <xf numFmtId="173" fontId="0" fillId="0" borderId="0" xfId="14" applyNumberFormat="1" applyFont="1"/>
    <xf numFmtId="173" fontId="16" fillId="0" borderId="0" xfId="4" applyNumberFormat="1"/>
    <xf numFmtId="0" fontId="47" fillId="0" borderId="11" xfId="15"/>
    <xf numFmtId="1" fontId="16" fillId="0" borderId="0" xfId="4" applyNumberFormat="1"/>
    <xf numFmtId="175" fontId="38" fillId="0" borderId="0" xfId="4" applyNumberFormat="1" applyFont="1"/>
    <xf numFmtId="175" fontId="49" fillId="10" borderId="0" xfId="16" applyNumberFormat="1" applyFont="1"/>
    <xf numFmtId="175" fontId="16" fillId="0" borderId="0" xfId="4" applyNumberFormat="1"/>
    <xf numFmtId="9" fontId="16" fillId="0" borderId="0" xfId="4" applyNumberFormat="1"/>
    <xf numFmtId="9" fontId="0" fillId="0" borderId="0" xfId="17" applyFont="1"/>
    <xf numFmtId="172" fontId="16" fillId="0" borderId="0" xfId="4" applyNumberFormat="1"/>
    <xf numFmtId="174" fontId="0" fillId="0" borderId="0" xfId="17" applyNumberFormat="1" applyFont="1"/>
    <xf numFmtId="175" fontId="50" fillId="9" borderId="0" xfId="13" applyNumberFormat="1" applyFont="1"/>
    <xf numFmtId="175" fontId="40" fillId="11" borderId="0" xfId="18" applyNumberFormat="1" applyFont="1"/>
    <xf numFmtId="2" fontId="38" fillId="0" borderId="0" xfId="4" applyNumberFormat="1" applyFont="1"/>
    <xf numFmtId="173" fontId="38" fillId="0" borderId="0" xfId="4" applyNumberFormat="1" applyFont="1"/>
    <xf numFmtId="2" fontId="38" fillId="0" borderId="2" xfId="4" applyNumberFormat="1" applyFont="1" applyBorder="1"/>
    <xf numFmtId="2" fontId="48" fillId="10" borderId="2" xfId="16" applyNumberFormat="1" applyBorder="1"/>
    <xf numFmtId="173" fontId="38" fillId="0" borderId="2" xfId="4" applyNumberFormat="1" applyFont="1" applyBorder="1"/>
    <xf numFmtId="0" fontId="38" fillId="0" borderId="2" xfId="4" applyFont="1" applyBorder="1"/>
    <xf numFmtId="168" fontId="16" fillId="0" borderId="0" xfId="4" applyNumberFormat="1"/>
    <xf numFmtId="2" fontId="46" fillId="9" borderId="2" xfId="13" applyNumberFormat="1" applyBorder="1"/>
    <xf numFmtId="2" fontId="16" fillId="0" borderId="0" xfId="4" applyNumberFormat="1"/>
    <xf numFmtId="173" fontId="38" fillId="0" borderId="2" xfId="14" applyNumberFormat="1" applyFont="1" applyBorder="1"/>
    <xf numFmtId="0" fontId="38" fillId="0" borderId="0" xfId="4" applyFont="1" applyAlignment="1">
      <alignment vertical="top"/>
    </xf>
    <xf numFmtId="0" fontId="51" fillId="11" borderId="0" xfId="18"/>
    <xf numFmtId="0" fontId="16" fillId="0" borderId="0" xfId="4" applyAlignment="1">
      <alignment horizontal="left" indent="1"/>
    </xf>
    <xf numFmtId="0" fontId="52" fillId="0" borderId="0" xfId="19"/>
    <xf numFmtId="43" fontId="16" fillId="0" borderId="0" xfId="4" applyNumberFormat="1"/>
    <xf numFmtId="43" fontId="38" fillId="0" borderId="0" xfId="4" applyNumberFormat="1" applyFont="1"/>
    <xf numFmtId="173" fontId="38" fillId="0" borderId="0" xfId="14" applyNumberFormat="1" applyFont="1" applyAlignment="1">
      <alignment horizontal="left"/>
    </xf>
    <xf numFmtId="14" fontId="16" fillId="0" borderId="0" xfId="4" applyNumberFormat="1" applyAlignment="1">
      <alignment horizontal="left"/>
    </xf>
    <xf numFmtId="0" fontId="45" fillId="0" borderId="0" xfId="4" applyFont="1"/>
    <xf numFmtId="0" fontId="53" fillId="0" borderId="0" xfId="4" applyFont="1"/>
    <xf numFmtId="174" fontId="23" fillId="0" borderId="0" xfId="0" applyNumberFormat="1" applyFont="1" applyBorder="1" applyAlignment="1">
      <alignment horizontal="right"/>
    </xf>
    <xf numFmtId="0" fontId="23" fillId="19" borderId="1" xfId="0" applyFont="1" applyFill="1" applyBorder="1" applyAlignment="1">
      <alignment horizontal="right"/>
    </xf>
    <xf numFmtId="0" fontId="23" fillId="20" borderId="1" xfId="0" applyFont="1" applyFill="1" applyBorder="1" applyAlignment="1">
      <alignment horizontal="right"/>
    </xf>
    <xf numFmtId="0" fontId="18" fillId="19" borderId="1" xfId="0" applyFont="1" applyFill="1" applyBorder="1" applyAlignment="1">
      <alignment horizontal="right"/>
    </xf>
    <xf numFmtId="0" fontId="18" fillId="20" borderId="1" xfId="0" applyFont="1" applyFill="1" applyBorder="1" applyAlignment="1">
      <alignment horizontal="right"/>
    </xf>
    <xf numFmtId="9" fontId="23" fillId="0" borderId="13" xfId="1" applyFont="1" applyBorder="1"/>
    <xf numFmtId="0" fontId="25" fillId="8" borderId="0" xfId="0" applyFont="1" applyFill="1" applyAlignment="1">
      <alignment horizontal="left" indent="1"/>
    </xf>
    <xf numFmtId="170" fontId="25" fillId="8" borderId="0" xfId="0" applyNumberFormat="1" applyFont="1" applyFill="1"/>
    <xf numFmtId="170" fontId="23" fillId="8" borderId="0" xfId="0" applyNumberFormat="1" applyFont="1" applyFill="1"/>
    <xf numFmtId="0" fontId="29" fillId="13" borderId="0" xfId="0" applyFont="1" applyFill="1" applyBorder="1" applyAlignment="1">
      <alignment horizontal="left" wrapText="1" indent="1"/>
    </xf>
    <xf numFmtId="170" fontId="29" fillId="13" borderId="0" xfId="0" applyNumberFormat="1" applyFont="1" applyFill="1" applyBorder="1" applyAlignment="1">
      <alignment horizontal="right"/>
    </xf>
    <xf numFmtId="0" fontId="25" fillId="0" borderId="0" xfId="0" applyFont="1" applyFill="1"/>
    <xf numFmtId="9" fontId="23" fillId="0" borderId="0" xfId="0" applyNumberFormat="1" applyFont="1" applyFill="1"/>
    <xf numFmtId="0" fontId="18" fillId="19" borderId="1" xfId="0" applyFont="1" applyFill="1" applyBorder="1" applyAlignment="1">
      <alignment horizontal="right" wrapText="1"/>
    </xf>
    <xf numFmtId="0" fontId="18" fillId="20" borderId="1" xfId="0" applyFont="1" applyFill="1" applyBorder="1" applyAlignment="1">
      <alignment horizontal="right" wrapText="1"/>
    </xf>
    <xf numFmtId="10" fontId="26" fillId="0" borderId="0" xfId="1" applyNumberFormat="1" applyFont="1"/>
    <xf numFmtId="0" fontId="23" fillId="13" borderId="0" xfId="0" applyFont="1" applyFill="1" applyBorder="1" applyAlignment="1">
      <alignment horizontal="left"/>
    </xf>
    <xf numFmtId="0" fontId="27" fillId="0" borderId="0" xfId="0" applyFont="1" applyFill="1" applyAlignment="1">
      <alignment horizontal="right"/>
    </xf>
    <xf numFmtId="4" fontId="23" fillId="0" borderId="2" xfId="0" applyNumberFormat="1" applyFont="1" applyBorder="1" applyAlignment="1">
      <alignment horizontal="right"/>
    </xf>
    <xf numFmtId="3" fontId="23" fillId="0" borderId="2" xfId="0" applyNumberFormat="1" applyFont="1" applyBorder="1" applyAlignment="1">
      <alignment horizontal="right"/>
    </xf>
    <xf numFmtId="0" fontId="54" fillId="0" borderId="0" xfId="0" applyFont="1" applyFill="1"/>
    <xf numFmtId="0" fontId="41" fillId="0" borderId="0" xfId="0" applyFont="1" applyFill="1"/>
    <xf numFmtId="9" fontId="29" fillId="0" borderId="0" xfId="1" applyFont="1" applyFill="1"/>
    <xf numFmtId="164" fontId="26" fillId="0" borderId="0" xfId="0" applyNumberFormat="1" applyFont="1"/>
    <xf numFmtId="6" fontId="23" fillId="13" borderId="0" xfId="0" applyNumberFormat="1" applyFont="1" applyFill="1" applyBorder="1" applyAlignment="1">
      <alignment horizontal="center"/>
    </xf>
    <xf numFmtId="0" fontId="18" fillId="19" borderId="0" xfId="0" applyFont="1" applyFill="1" applyBorder="1" applyAlignment="1">
      <alignment horizontal="center"/>
    </xf>
    <xf numFmtId="0" fontId="18" fillId="20" borderId="0" xfId="0" applyFont="1" applyFill="1" applyBorder="1" applyAlignment="1"/>
    <xf numFmtId="1" fontId="23" fillId="0" borderId="0" xfId="0" applyNumberFormat="1" applyFont="1" applyBorder="1"/>
    <xf numFmtId="1" fontId="23" fillId="13" borderId="0" xfId="0" applyNumberFormat="1" applyFont="1" applyFill="1" applyBorder="1"/>
    <xf numFmtId="165" fontId="26" fillId="0" borderId="0" xfId="0" applyNumberFormat="1" applyFont="1"/>
    <xf numFmtId="181" fontId="23" fillId="0" borderId="0" xfId="0" applyNumberFormat="1" applyFont="1" applyBorder="1" applyAlignment="1">
      <alignment horizontal="right"/>
    </xf>
    <xf numFmtId="10" fontId="25" fillId="13" borderId="0" xfId="1" applyNumberFormat="1" applyFont="1" applyFill="1"/>
    <xf numFmtId="10" fontId="25" fillId="0" borderId="0" xfId="1" applyNumberFormat="1" applyFont="1" applyFill="1"/>
    <xf numFmtId="180" fontId="23" fillId="0" borderId="0" xfId="5" applyNumberFormat="1" applyFont="1"/>
    <xf numFmtId="164" fontId="23" fillId="13" borderId="0" xfId="0" applyNumberFormat="1" applyFont="1" applyFill="1"/>
    <xf numFmtId="0" fontId="38" fillId="0" borderId="0" xfId="20" applyFont="1"/>
    <xf numFmtId="164" fontId="38" fillId="0" borderId="0" xfId="20" applyNumberFormat="1" applyFont="1"/>
    <xf numFmtId="0" fontId="8" fillId="0" borderId="0" xfId="20"/>
    <xf numFmtId="164" fontId="8" fillId="0" borderId="0" xfId="20" applyNumberFormat="1"/>
    <xf numFmtId="43" fontId="38" fillId="0" borderId="0" xfId="21" applyFont="1"/>
    <xf numFmtId="173" fontId="38" fillId="0" borderId="0" xfId="21" applyNumberFormat="1" applyFont="1"/>
    <xf numFmtId="173" fontId="38" fillId="0" borderId="0" xfId="21" applyNumberFormat="1" applyFont="1" applyAlignment="1">
      <alignment horizontal="left"/>
    </xf>
    <xf numFmtId="43" fontId="38" fillId="0" borderId="0" xfId="20" applyNumberFormat="1" applyFont="1"/>
    <xf numFmtId="173" fontId="0" fillId="0" borderId="0" xfId="21" applyNumberFormat="1" applyFont="1"/>
    <xf numFmtId="43" fontId="8" fillId="0" borderId="0" xfId="20" applyNumberFormat="1"/>
    <xf numFmtId="173" fontId="8" fillId="0" borderId="0" xfId="20" applyNumberFormat="1"/>
    <xf numFmtId="174" fontId="0" fillId="0" borderId="0" xfId="22" applyNumberFormat="1" applyFont="1"/>
    <xf numFmtId="175" fontId="8" fillId="0" borderId="0" xfId="20" applyNumberFormat="1"/>
    <xf numFmtId="9" fontId="8" fillId="0" borderId="0" xfId="20" applyNumberFormat="1"/>
    <xf numFmtId="168" fontId="8" fillId="0" borderId="0" xfId="20" applyNumberFormat="1"/>
    <xf numFmtId="175" fontId="38" fillId="0" borderId="0" xfId="20" applyNumberFormat="1" applyFont="1"/>
    <xf numFmtId="0" fontId="55" fillId="0" borderId="0" xfId="20" applyFont="1"/>
    <xf numFmtId="173" fontId="0" fillId="0" borderId="0" xfId="21" applyNumberFormat="1" applyFont="1" applyFill="1"/>
    <xf numFmtId="0" fontId="8" fillId="0" borderId="0" xfId="20" applyAlignment="1">
      <alignment horizontal="left" indent="1"/>
    </xf>
    <xf numFmtId="173" fontId="52" fillId="0" borderId="0" xfId="19" applyNumberFormat="1" applyAlignment="1">
      <alignment horizontal="left" indent="2"/>
    </xf>
    <xf numFmtId="173" fontId="56" fillId="0" borderId="0" xfId="19" applyNumberFormat="1" applyFont="1" applyAlignment="1">
      <alignment horizontal="left" indent="2"/>
    </xf>
    <xf numFmtId="0" fontId="40" fillId="11" borderId="0" xfId="18" applyFont="1"/>
    <xf numFmtId="0" fontId="38" fillId="0" borderId="0" xfId="20" applyFont="1" applyAlignment="1">
      <alignment vertical="top"/>
    </xf>
    <xf numFmtId="0" fontId="38" fillId="0" borderId="2" xfId="20" applyFont="1" applyBorder="1"/>
    <xf numFmtId="173" fontId="38" fillId="0" borderId="2" xfId="21" applyNumberFormat="1" applyFont="1" applyBorder="1"/>
    <xf numFmtId="168" fontId="38" fillId="0" borderId="2" xfId="21" applyNumberFormat="1" applyFont="1" applyBorder="1"/>
    <xf numFmtId="173" fontId="38" fillId="21" borderId="2" xfId="21" applyNumberFormat="1" applyFont="1" applyFill="1" applyBorder="1"/>
    <xf numFmtId="1" fontId="38" fillId="21" borderId="2" xfId="20" applyNumberFormat="1" applyFont="1" applyFill="1" applyBorder="1"/>
    <xf numFmtId="2" fontId="38" fillId="0" borderId="2" xfId="20" applyNumberFormat="1" applyFont="1" applyBorder="1"/>
    <xf numFmtId="1" fontId="38" fillId="22" borderId="2" xfId="20" applyNumberFormat="1" applyFont="1" applyFill="1" applyBorder="1"/>
    <xf numFmtId="2" fontId="8" fillId="0" borderId="0" xfId="20" applyNumberFormat="1"/>
    <xf numFmtId="173" fontId="55" fillId="0" borderId="0" xfId="21" applyNumberFormat="1" applyFont="1"/>
    <xf numFmtId="173" fontId="8" fillId="0" borderId="0" xfId="21" applyNumberFormat="1" applyFont="1"/>
    <xf numFmtId="0" fontId="55" fillId="0" borderId="0" xfId="20" applyFont="1" applyAlignment="1">
      <alignment horizontal="right"/>
    </xf>
    <xf numFmtId="173" fontId="38" fillId="21" borderId="0" xfId="20" applyNumberFormat="1" applyFont="1" applyFill="1"/>
    <xf numFmtId="175" fontId="38" fillId="21" borderId="0" xfId="20" applyNumberFormat="1" applyFont="1" applyFill="1"/>
    <xf numFmtId="9" fontId="8" fillId="13" borderId="0" xfId="20" applyNumberFormat="1" applyFill="1"/>
    <xf numFmtId="9" fontId="0" fillId="0" borderId="0" xfId="22" applyFont="1"/>
    <xf numFmtId="172" fontId="8" fillId="0" borderId="0" xfId="20" applyNumberFormat="1"/>
    <xf numFmtId="176" fontId="8" fillId="0" borderId="0" xfId="20" applyNumberFormat="1"/>
    <xf numFmtId="0" fontId="18" fillId="14" borderId="1" xfId="0" applyFont="1" applyFill="1" applyBorder="1" applyAlignment="1">
      <alignment horizontal="right" wrapText="1"/>
    </xf>
    <xf numFmtId="170" fontId="23" fillId="13" borderId="0" xfId="0" applyNumberFormat="1" applyFont="1" applyFill="1" applyBorder="1" applyAlignment="1">
      <alignment horizontal="right"/>
    </xf>
    <xf numFmtId="0" fontId="0" fillId="0" borderId="0" xfId="0" applyAlignment="1">
      <alignment horizontal="center"/>
    </xf>
    <xf numFmtId="9" fontId="0" fillId="0" borderId="0" xfId="1" applyFont="1" applyAlignment="1">
      <alignment horizontal="center"/>
    </xf>
    <xf numFmtId="3" fontId="23" fillId="23" borderId="0" xfId="0" applyNumberFormat="1" applyFont="1" applyFill="1" applyBorder="1" applyAlignment="1">
      <alignment horizontal="right" vertical="center"/>
    </xf>
    <xf numFmtId="0" fontId="20" fillId="0" borderId="2" xfId="0" applyFont="1" applyBorder="1"/>
    <xf numFmtId="0" fontId="25" fillId="0" borderId="15" xfId="0" applyFont="1" applyBorder="1"/>
    <xf numFmtId="0" fontId="25" fillId="0" borderId="3" xfId="0" applyFont="1" applyBorder="1"/>
    <xf numFmtId="0" fontId="25" fillId="0" borderId="3" xfId="0" applyFont="1" applyBorder="1" applyAlignment="1">
      <alignment horizontal="right"/>
    </xf>
    <xf numFmtId="0" fontId="23" fillId="0" borderId="1" xfId="0" applyFont="1" applyBorder="1" applyAlignment="1">
      <alignment horizontal="left" indent="1"/>
    </xf>
    <xf numFmtId="1" fontId="23" fillId="0" borderId="7" xfId="0" applyNumberFormat="1" applyFont="1" applyBorder="1" applyAlignment="1">
      <alignment horizontal="right"/>
    </xf>
    <xf numFmtId="0" fontId="23" fillId="0" borderId="0" xfId="0" applyFont="1" applyAlignment="1">
      <alignment horizontal="left" indent="1"/>
    </xf>
    <xf numFmtId="0" fontId="25" fillId="0" borderId="0" xfId="0" applyFont="1" applyAlignment="1">
      <alignment horizontal="left" indent="1"/>
    </xf>
    <xf numFmtId="173" fontId="23" fillId="0" borderId="0" xfId="0" applyNumberFormat="1" applyFont="1"/>
    <xf numFmtId="173" fontId="23" fillId="0" borderId="0" xfId="6" applyNumberFormat="1" applyFont="1" applyAlignment="1">
      <alignment horizontal="right"/>
    </xf>
    <xf numFmtId="0" fontId="25" fillId="0" borderId="1" xfId="0" applyFont="1" applyBorder="1"/>
    <xf numFmtId="1" fontId="23" fillId="23" borderId="0" xfId="0" applyNumberFormat="1" applyFont="1" applyFill="1" applyBorder="1" applyAlignment="1">
      <alignment horizontal="center"/>
    </xf>
    <xf numFmtId="164" fontId="0" fillId="0" borderId="0" xfId="6" applyNumberFormat="1" applyFont="1"/>
    <xf numFmtId="0" fontId="9" fillId="0" borderId="0" xfId="0" applyFont="1" applyAlignment="1">
      <alignment horizontal="center"/>
    </xf>
    <xf numFmtId="173" fontId="23" fillId="0" borderId="0" xfId="0" applyNumberFormat="1" applyFont="1" applyAlignment="1">
      <alignment horizontal="right"/>
    </xf>
    <xf numFmtId="173" fontId="26" fillId="0" borderId="0" xfId="0" applyNumberFormat="1" applyFont="1" applyBorder="1"/>
    <xf numFmtId="10" fontId="23" fillId="0" borderId="0" xfId="1" applyNumberFormat="1" applyFont="1" applyBorder="1"/>
    <xf numFmtId="164" fontId="26" fillId="0" borderId="0" xfId="5" applyNumberFormat="1" applyFont="1" applyAlignment="1">
      <alignment horizontal="right"/>
    </xf>
    <xf numFmtId="0" fontId="9" fillId="0" borderId="0" xfId="0" applyFont="1" applyAlignment="1">
      <alignment horizontal="center" vertical="center"/>
    </xf>
    <xf numFmtId="9" fontId="0" fillId="0" borderId="0" xfId="0" applyNumberFormat="1" applyAlignment="1">
      <alignment horizontal="center" vertical="center"/>
    </xf>
    <xf numFmtId="173" fontId="25" fillId="0" borderId="0" xfId="0" applyNumberFormat="1" applyFont="1" applyAlignment="1">
      <alignment horizontal="right"/>
    </xf>
    <xf numFmtId="0" fontId="58" fillId="0" borderId="3" xfId="0" applyFont="1" applyBorder="1"/>
    <xf numFmtId="0" fontId="0" fillId="0" borderId="3" xfId="0" applyFont="1" applyBorder="1"/>
    <xf numFmtId="0" fontId="61" fillId="0" borderId="0" xfId="0" applyFont="1"/>
    <xf numFmtId="9" fontId="0" fillId="0" borderId="3" xfId="1" applyFont="1" applyBorder="1"/>
    <xf numFmtId="9" fontId="0" fillId="0" borderId="0" xfId="1" applyFont="1" applyBorder="1"/>
    <xf numFmtId="0" fontId="0" fillId="0" borderId="3" xfId="0" applyFont="1" applyBorder="1" applyAlignment="1">
      <alignment horizontal="right"/>
    </xf>
    <xf numFmtId="0" fontId="62" fillId="0" borderId="0" xfId="0" applyFont="1"/>
    <xf numFmtId="166" fontId="0" fillId="0" borderId="0" xfId="1" applyNumberFormat="1" applyFont="1"/>
    <xf numFmtId="1" fontId="25" fillId="13" borderId="0" xfId="0" applyNumberFormat="1" applyFont="1" applyFill="1"/>
    <xf numFmtId="10" fontId="26" fillId="0" borderId="0" xfId="1" applyNumberFormat="1" applyFont="1" applyBorder="1"/>
    <xf numFmtId="164" fontId="26" fillId="0" borderId="0" xfId="1" applyNumberFormat="1" applyFont="1" applyBorder="1"/>
    <xf numFmtId="0" fontId="27" fillId="0" borderId="0" xfId="0" applyFont="1" applyBorder="1" applyAlignment="1">
      <alignment horizontal="left" vertical="center" wrapText="1" indent="1"/>
    </xf>
    <xf numFmtId="0" fontId="26" fillId="0" borderId="0" xfId="0" applyFont="1" applyBorder="1" applyAlignment="1">
      <alignment horizontal="left" vertical="center" wrapText="1" indent="2"/>
    </xf>
    <xf numFmtId="0" fontId="30" fillId="0" borderId="0" xfId="0" applyFont="1" applyBorder="1" applyAlignment="1">
      <alignment horizontal="left" vertical="center" wrapText="1"/>
    </xf>
    <xf numFmtId="170" fontId="30" fillId="0" borderId="0" xfId="0" applyNumberFormat="1" applyFont="1" applyBorder="1" applyAlignment="1">
      <alignment horizontal="right" vertical="center"/>
    </xf>
    <xf numFmtId="170" fontId="26" fillId="0" borderId="0" xfId="0" applyNumberFormat="1" applyFont="1" applyBorder="1" applyAlignment="1">
      <alignment horizontal="right" vertical="center"/>
    </xf>
    <xf numFmtId="173" fontId="0" fillId="0" borderId="0" xfId="6" applyNumberFormat="1" applyFont="1" applyBorder="1"/>
    <xf numFmtId="173" fontId="0" fillId="0" borderId="1" xfId="6" applyNumberFormat="1" applyFont="1" applyBorder="1"/>
    <xf numFmtId="0" fontId="0" fillId="0" borderId="0" xfId="0" applyFont="1"/>
    <xf numFmtId="9" fontId="0" fillId="0" borderId="3" xfId="1" applyFont="1" applyBorder="1" applyAlignment="1">
      <alignment horizontal="right"/>
    </xf>
    <xf numFmtId="0" fontId="0" fillId="0" borderId="1" xfId="0" applyFont="1" applyBorder="1"/>
    <xf numFmtId="0" fontId="0" fillId="0" borderId="0" xfId="0" applyFont="1" applyAlignment="1">
      <alignment horizontal="left" indent="1"/>
    </xf>
    <xf numFmtId="8" fontId="0" fillId="0" borderId="0" xfId="0" applyNumberFormat="1" applyFont="1"/>
    <xf numFmtId="6" fontId="0" fillId="0" borderId="0" xfId="0" applyNumberFormat="1" applyFont="1"/>
    <xf numFmtId="8" fontId="0" fillId="0" borderId="0" xfId="0" applyNumberFormat="1" applyFont="1" applyBorder="1"/>
    <xf numFmtId="6" fontId="0" fillId="0" borderId="0" xfId="0" applyNumberFormat="1" applyFont="1" applyBorder="1"/>
    <xf numFmtId="8" fontId="0" fillId="0" borderId="1" xfId="0" applyNumberFormat="1" applyFont="1" applyBorder="1"/>
    <xf numFmtId="0" fontId="0" fillId="0" borderId="0" xfId="0" applyFont="1" applyBorder="1" applyAlignment="1">
      <alignment horizontal="right"/>
    </xf>
    <xf numFmtId="9" fontId="0" fillId="0" borderId="1" xfId="0" applyNumberFormat="1" applyFont="1" applyBorder="1"/>
    <xf numFmtId="9" fontId="0" fillId="0" borderId="0" xfId="0" applyNumberFormat="1" applyFont="1"/>
    <xf numFmtId="9" fontId="0" fillId="0" borderId="0" xfId="0" applyNumberFormat="1" applyFont="1" applyBorder="1"/>
    <xf numFmtId="0" fontId="0" fillId="0" borderId="0" xfId="0" applyFont="1" applyAlignment="1">
      <alignment horizontal="right"/>
    </xf>
    <xf numFmtId="0" fontId="0" fillId="0" borderId="1" xfId="0" applyFont="1" applyFill="1" applyBorder="1" applyAlignment="1">
      <alignment horizontal="right"/>
    </xf>
    <xf numFmtId="2" fontId="23" fillId="23" borderId="1" xfId="0" applyNumberFormat="1" applyFont="1" applyFill="1" applyBorder="1" applyAlignment="1">
      <alignment horizontal="right"/>
    </xf>
    <xf numFmtId="0" fontId="25" fillId="0" borderId="0" xfId="0" applyFont="1" applyAlignment="1">
      <alignment horizontal="right"/>
    </xf>
    <xf numFmtId="173" fontId="23" fillId="0" borderId="0" xfId="6" applyNumberFormat="1" applyFont="1"/>
    <xf numFmtId="0" fontId="7" fillId="0" borderId="0" xfId="0" applyFont="1" applyFill="1" applyBorder="1" applyAlignment="1">
      <alignment horizontal="left" indent="1"/>
    </xf>
    <xf numFmtId="1" fontId="23" fillId="23" borderId="3" xfId="0" applyNumberFormat="1" applyFont="1" applyFill="1" applyBorder="1" applyAlignment="1">
      <alignment horizontal="right"/>
    </xf>
    <xf numFmtId="0" fontId="25" fillId="13" borderId="0" xfId="0" applyFont="1" applyFill="1"/>
    <xf numFmtId="173" fontId="23" fillId="0" borderId="0" xfId="0" applyNumberFormat="1" applyFont="1" applyFill="1" applyAlignment="1">
      <alignment horizontal="right"/>
    </xf>
    <xf numFmtId="0" fontId="23" fillId="25" borderId="1" xfId="0" applyFont="1" applyFill="1" applyBorder="1" applyAlignment="1">
      <alignment horizontal="right"/>
    </xf>
    <xf numFmtId="173" fontId="6" fillId="0" borderId="0" xfId="6" applyNumberFormat="1" applyFont="1" applyBorder="1"/>
    <xf numFmtId="0" fontId="18" fillId="25" borderId="1" xfId="0" applyFont="1" applyFill="1" applyBorder="1" applyAlignment="1">
      <alignment horizontal="right" wrapText="1"/>
    </xf>
    <xf numFmtId="0" fontId="5" fillId="0" borderId="0" xfId="0" applyFont="1"/>
    <xf numFmtId="3" fontId="5" fillId="0" borderId="0" xfId="0" applyNumberFormat="1" applyFont="1" applyAlignment="1">
      <alignment horizontal="left"/>
    </xf>
    <xf numFmtId="173" fontId="23" fillId="13" borderId="0" xfId="0" applyNumberFormat="1" applyFont="1" applyFill="1" applyAlignment="1">
      <alignment horizontal="right"/>
    </xf>
    <xf numFmtId="173" fontId="25" fillId="0" borderId="0" xfId="6" applyNumberFormat="1" applyFont="1" applyAlignment="1">
      <alignment horizontal="right"/>
    </xf>
    <xf numFmtId="164" fontId="23" fillId="0" borderId="0" xfId="1" applyNumberFormat="1" applyFont="1"/>
    <xf numFmtId="166" fontId="23" fillId="0" borderId="0" xfId="1" applyNumberFormat="1" applyFont="1"/>
    <xf numFmtId="8" fontId="23" fillId="0" borderId="0" xfId="0" applyNumberFormat="1" applyFont="1"/>
    <xf numFmtId="8" fontId="20" fillId="0" borderId="0" xfId="0" applyNumberFormat="1" applyFont="1"/>
    <xf numFmtId="175" fontId="4" fillId="0" borderId="0" xfId="6" applyNumberFormat="1" applyFont="1"/>
    <xf numFmtId="43" fontId="20" fillId="0" borderId="0" xfId="6" applyFont="1"/>
    <xf numFmtId="43" fontId="20" fillId="0" borderId="0" xfId="0" applyNumberFormat="1" applyFont="1"/>
    <xf numFmtId="0" fontId="3" fillId="0" borderId="0" xfId="0" applyFont="1" applyFill="1"/>
    <xf numFmtId="0" fontId="3" fillId="0" borderId="1" xfId="0" applyFont="1" applyBorder="1"/>
    <xf numFmtId="0" fontId="3" fillId="0" borderId="1" xfId="0" applyFont="1" applyBorder="1" applyAlignment="1">
      <alignment horizontal="left" indent="1"/>
    </xf>
    <xf numFmtId="0" fontId="3" fillId="0" borderId="0" xfId="0" applyFont="1"/>
    <xf numFmtId="0" fontId="25" fillId="13" borderId="0" xfId="0" applyFont="1" applyFill="1" applyBorder="1"/>
    <xf numFmtId="0" fontId="26" fillId="13" borderId="1" xfId="0" applyFont="1" applyFill="1" applyBorder="1" applyAlignment="1">
      <alignment horizontal="left" indent="2"/>
    </xf>
    <xf numFmtId="0" fontId="26" fillId="13" borderId="1" xfId="0" applyFont="1" applyFill="1" applyBorder="1" applyAlignment="1">
      <alignment horizontal="center"/>
    </xf>
    <xf numFmtId="6" fontId="26" fillId="13" borderId="1" xfId="0" applyNumberFormat="1" applyFont="1" applyFill="1" applyBorder="1"/>
    <xf numFmtId="0" fontId="23" fillId="13" borderId="1" xfId="0" applyFont="1" applyFill="1" applyBorder="1"/>
    <xf numFmtId="6" fontId="3" fillId="13" borderId="0" xfId="0" applyNumberFormat="1" applyFont="1" applyFill="1" applyAlignment="1">
      <alignment horizontal="center"/>
    </xf>
    <xf numFmtId="6" fontId="26" fillId="0" borderId="0" xfId="0" applyNumberFormat="1" applyFont="1" applyFill="1" applyBorder="1" applyAlignment="1">
      <alignment horizontal="center"/>
    </xf>
    <xf numFmtId="9" fontId="26" fillId="0" borderId="0" xfId="0" applyNumberFormat="1" applyFont="1" applyFill="1" applyBorder="1" applyAlignment="1">
      <alignment horizontal="center"/>
    </xf>
    <xf numFmtId="0" fontId="26" fillId="0" borderId="4" xfId="0" applyFont="1" applyBorder="1"/>
    <xf numFmtId="0" fontId="26" fillId="0" borderId="5" xfId="0" applyFont="1" applyBorder="1" applyAlignment="1">
      <alignment horizontal="right"/>
    </xf>
    <xf numFmtId="0" fontId="26" fillId="0" borderId="6" xfId="0" applyFont="1" applyBorder="1" applyAlignment="1">
      <alignment horizontal="left" indent="1"/>
    </xf>
    <xf numFmtId="173" fontId="26" fillId="0" borderId="7" xfId="0" applyNumberFormat="1" applyFont="1" applyBorder="1" applyAlignment="1">
      <alignment horizontal="right"/>
    </xf>
    <xf numFmtId="0" fontId="24" fillId="0" borderId="6" xfId="0" applyFont="1" applyBorder="1" applyAlignment="1">
      <alignment horizontal="left" indent="1"/>
    </xf>
    <xf numFmtId="173" fontId="24" fillId="0" borderId="7" xfId="0" applyNumberFormat="1" applyFont="1" applyBorder="1" applyAlignment="1">
      <alignment horizontal="right"/>
    </xf>
    <xf numFmtId="0" fontId="26" fillId="0" borderId="8" xfId="0" applyFont="1" applyBorder="1" applyAlignment="1">
      <alignment horizontal="left" indent="2"/>
    </xf>
    <xf numFmtId="3" fontId="26" fillId="0" borderId="9" xfId="0" applyNumberFormat="1" applyFont="1" applyBorder="1" applyAlignment="1">
      <alignment horizontal="right"/>
    </xf>
    <xf numFmtId="173" fontId="23" fillId="0" borderId="0" xfId="6" applyNumberFormat="1" applyFont="1" applyBorder="1" applyAlignment="1">
      <alignment horizontal="right"/>
    </xf>
    <xf numFmtId="0" fontId="3" fillId="0" borderId="0" xfId="0" applyFont="1" applyFill="1" applyBorder="1"/>
    <xf numFmtId="173" fontId="23" fillId="0" borderId="0" xfId="6" applyNumberFormat="1" applyFont="1" applyFill="1" applyBorder="1"/>
    <xf numFmtId="9" fontId="23" fillId="23" borderId="0" xfId="1" applyFont="1" applyFill="1" applyBorder="1" applyAlignment="1">
      <alignment horizontal="right"/>
    </xf>
    <xf numFmtId="1" fontId="25" fillId="13" borderId="0" xfId="0" applyNumberFormat="1" applyFont="1" applyFill="1" applyBorder="1"/>
    <xf numFmtId="2" fontId="23" fillId="0" borderId="1" xfId="0" applyNumberFormat="1" applyFont="1" applyBorder="1" applyAlignment="1">
      <alignment horizontal="right"/>
    </xf>
    <xf numFmtId="173" fontId="23" fillId="0" borderId="1" xfId="6" applyNumberFormat="1" applyFont="1" applyFill="1" applyBorder="1" applyAlignment="1">
      <alignment horizontal="right"/>
    </xf>
    <xf numFmtId="3" fontId="3" fillId="0" borderId="0" xfId="0" applyNumberFormat="1" applyFont="1" applyBorder="1" applyAlignment="1">
      <alignment horizontal="right"/>
    </xf>
    <xf numFmtId="0" fontId="3" fillId="0" borderId="0" xfId="0" applyFont="1" applyAlignment="1">
      <alignment horizontal="left" indent="1"/>
    </xf>
    <xf numFmtId="0" fontId="3" fillId="0" borderId="0" xfId="0" applyFont="1" applyBorder="1" applyAlignment="1">
      <alignment horizontal="left"/>
    </xf>
    <xf numFmtId="173" fontId="3" fillId="0" borderId="0" xfId="6" applyNumberFormat="1" applyFont="1" applyBorder="1" applyAlignment="1">
      <alignment horizontal="right"/>
    </xf>
    <xf numFmtId="3" fontId="3" fillId="0" borderId="0" xfId="0" applyNumberFormat="1" applyFont="1" applyBorder="1" applyAlignment="1">
      <alignment horizontal="left"/>
    </xf>
    <xf numFmtId="0" fontId="3" fillId="0" borderId="0" xfId="0" applyFont="1" applyBorder="1"/>
    <xf numFmtId="0" fontId="25" fillId="0" borderId="1" xfId="0" applyFont="1" applyBorder="1" applyAlignment="1">
      <alignment horizontal="left" indent="1"/>
    </xf>
    <xf numFmtId="173" fontId="25" fillId="0" borderId="1" xfId="0" applyNumberFormat="1" applyFont="1" applyBorder="1" applyAlignment="1">
      <alignment horizontal="right"/>
    </xf>
    <xf numFmtId="0" fontId="6" fillId="0" borderId="1" xfId="0" applyFont="1" applyBorder="1" applyAlignment="1">
      <alignment horizontal="left" indent="1"/>
    </xf>
    <xf numFmtId="0" fontId="6" fillId="0" borderId="1" xfId="0" applyFont="1" applyBorder="1" applyAlignment="1">
      <alignment horizontal="right"/>
    </xf>
    <xf numFmtId="0" fontId="3" fillId="0" borderId="0" xfId="0" applyFont="1" applyFill="1" applyAlignment="1">
      <alignment horizontal="left" indent="1"/>
    </xf>
    <xf numFmtId="0" fontId="25" fillId="0" borderId="0" xfId="0" applyFont="1" applyAlignment="1">
      <alignment horizontal="left"/>
    </xf>
    <xf numFmtId="173" fontId="25" fillId="0" borderId="0" xfId="0" applyNumberFormat="1" applyFont="1" applyBorder="1" applyAlignment="1">
      <alignment horizontal="right"/>
    </xf>
    <xf numFmtId="0" fontId="25" fillId="0" borderId="1" xfId="0" applyFont="1" applyFill="1" applyBorder="1"/>
    <xf numFmtId="173" fontId="25" fillId="0" borderId="1" xfId="0" applyNumberFormat="1" applyFont="1" applyBorder="1"/>
    <xf numFmtId="0" fontId="25" fillId="0" borderId="1" xfId="0" applyFont="1" applyBorder="1" applyAlignment="1">
      <alignment horizontal="left"/>
    </xf>
    <xf numFmtId="0" fontId="26" fillId="0" borderId="6" xfId="0" applyFont="1" applyBorder="1" applyAlignment="1">
      <alignment horizontal="left" indent="2"/>
    </xf>
    <xf numFmtId="3" fontId="26" fillId="0" borderId="7" xfId="0" applyNumberFormat="1" applyFont="1" applyBorder="1" applyAlignment="1">
      <alignment horizontal="right"/>
    </xf>
    <xf numFmtId="0" fontId="3" fillId="13" borderId="0" xfId="0" applyFont="1" applyFill="1" applyAlignment="1">
      <alignment horizontal="left" indent="1"/>
    </xf>
    <xf numFmtId="173" fontId="26" fillId="0" borderId="0" xfId="0" applyNumberFormat="1" applyFont="1" applyFill="1" applyAlignment="1">
      <alignment horizontal="right"/>
    </xf>
    <xf numFmtId="0" fontId="25" fillId="0" borderId="0" xfId="0" applyFont="1" applyFill="1" applyAlignment="1">
      <alignment horizontal="left" indent="1"/>
    </xf>
    <xf numFmtId="173" fontId="25" fillId="0" borderId="0" xfId="0" applyNumberFormat="1" applyFont="1" applyFill="1" applyAlignment="1">
      <alignment horizontal="right"/>
    </xf>
    <xf numFmtId="173" fontId="2" fillId="0" borderId="0" xfId="0" applyNumberFormat="1" applyFont="1" applyBorder="1" applyAlignment="1">
      <alignment horizontal="right"/>
    </xf>
    <xf numFmtId="0" fontId="2" fillId="0" borderId="0" xfId="0" applyFont="1" applyBorder="1" applyAlignment="1">
      <alignment horizontal="left" indent="1"/>
    </xf>
    <xf numFmtId="0" fontId="2" fillId="0" borderId="0" xfId="0" applyFont="1"/>
    <xf numFmtId="0" fontId="2" fillId="0" borderId="0" xfId="0" applyFont="1" applyFill="1" applyAlignment="1">
      <alignment horizontal="left" indent="1"/>
    </xf>
    <xf numFmtId="0" fontId="23" fillId="0" borderId="2" xfId="0" applyFont="1" applyBorder="1" applyAlignment="1">
      <alignment horizontal="left" indent="1"/>
    </xf>
    <xf numFmtId="173" fontId="23" fillId="0" borderId="2" xfId="6" applyNumberFormat="1" applyFont="1" applyBorder="1" applyAlignment="1">
      <alignment horizontal="right"/>
    </xf>
    <xf numFmtId="173" fontId="23" fillId="0" borderId="0" xfId="0" applyNumberFormat="1" applyFont="1" applyBorder="1"/>
    <xf numFmtId="0" fontId="2" fillId="0" borderId="2" xfId="0" applyFont="1" applyBorder="1" applyAlignment="1">
      <alignment horizontal="left" indent="1"/>
    </xf>
    <xf numFmtId="173" fontId="2" fillId="0" borderId="2" xfId="0" applyNumberFormat="1" applyFont="1" applyBorder="1" applyAlignment="1">
      <alignment horizontal="right"/>
    </xf>
    <xf numFmtId="0" fontId="2" fillId="0" borderId="0" xfId="0" applyFont="1" applyFill="1"/>
    <xf numFmtId="0" fontId="1" fillId="0" borderId="0" xfId="0" applyFont="1" applyFill="1" applyBorder="1"/>
    <xf numFmtId="8" fontId="0" fillId="0" borderId="0" xfId="0" applyNumberFormat="1" applyFont="1" applyAlignment="1">
      <alignment horizontal="right"/>
    </xf>
    <xf numFmtId="8" fontId="0" fillId="0" borderId="1" xfId="0" applyNumberFormat="1" applyFont="1" applyBorder="1" applyAlignment="1">
      <alignment horizontal="right"/>
    </xf>
    <xf numFmtId="164" fontId="0" fillId="0" borderId="1" xfId="6" applyNumberFormat="1" applyFont="1" applyBorder="1"/>
    <xf numFmtId="0" fontId="0" fillId="24" borderId="0" xfId="0" applyFont="1" applyFill="1"/>
    <xf numFmtId="0" fontId="0" fillId="0" borderId="0" xfId="0" applyFont="1" applyBorder="1" applyAlignment="1">
      <alignment horizontal="left"/>
    </xf>
    <xf numFmtId="166" fontId="0" fillId="0" borderId="0" xfId="0" applyNumberFormat="1" applyFont="1" applyFill="1" applyBorder="1" applyAlignment="1">
      <alignment horizontal="right"/>
    </xf>
    <xf numFmtId="6" fontId="0" fillId="0" borderId="0" xfId="0" applyNumberFormat="1" applyFont="1" applyBorder="1" applyAlignment="1">
      <alignment horizontal="right"/>
    </xf>
    <xf numFmtId="0" fontId="0" fillId="0" borderId="1" xfId="0" applyFont="1" applyBorder="1" applyAlignment="1">
      <alignment horizontal="right"/>
    </xf>
    <xf numFmtId="10" fontId="0" fillId="0" borderId="1" xfId="0" applyNumberFormat="1" applyFont="1" applyBorder="1" applyAlignment="1">
      <alignment horizontal="right"/>
    </xf>
    <xf numFmtId="0" fontId="0" fillId="0" borderId="0" xfId="0" applyFont="1" applyFill="1"/>
    <xf numFmtId="173" fontId="41" fillId="0" borderId="0" xfId="6" applyNumberFormat="1" applyFont="1" applyBorder="1"/>
    <xf numFmtId="0" fontId="20" fillId="0" borderId="0" xfId="20" applyFont="1"/>
    <xf numFmtId="0" fontId="22" fillId="0" borderId="26" xfId="20" applyFont="1" applyBorder="1" applyAlignment="1">
      <alignment vertical="center"/>
    </xf>
    <xf numFmtId="0" fontId="20" fillId="0" borderId="26" xfId="20" applyFont="1" applyBorder="1"/>
    <xf numFmtId="0" fontId="76" fillId="0" borderId="0" xfId="20" applyFont="1"/>
    <xf numFmtId="0" fontId="76" fillId="28" borderId="0" xfId="20" applyFont="1" applyFill="1"/>
    <xf numFmtId="0" fontId="22" fillId="0" borderId="0" xfId="20" applyFont="1" applyAlignment="1">
      <alignment vertical="center"/>
    </xf>
    <xf numFmtId="0" fontId="76" fillId="0" borderId="0" xfId="20" applyFont="1" applyAlignment="1">
      <alignment horizontal="center"/>
    </xf>
    <xf numFmtId="0" fontId="78" fillId="29" borderId="0" xfId="20" applyFont="1" applyFill="1" applyAlignment="1">
      <alignment horizontal="center"/>
    </xf>
    <xf numFmtId="0" fontId="76" fillId="0" borderId="0" xfId="20" applyFont="1" applyAlignment="1">
      <alignment vertical="center"/>
    </xf>
    <xf numFmtId="0" fontId="78" fillId="0" borderId="0" xfId="20" applyFont="1" applyAlignment="1">
      <alignment horizontal="center"/>
    </xf>
    <xf numFmtId="0" fontId="76" fillId="0" borderId="0" xfId="20" applyFont="1" applyBorder="1"/>
    <xf numFmtId="0" fontId="73" fillId="21" borderId="33" xfId="0" applyFont="1" applyFill="1" applyBorder="1" applyAlignment="1" applyProtection="1">
      <alignment horizontal="center" vertical="center"/>
      <protection locked="0"/>
    </xf>
    <xf numFmtId="0" fontId="76" fillId="0" borderId="39" xfId="20" applyFont="1" applyBorder="1"/>
    <xf numFmtId="0" fontId="0" fillId="0" borderId="0" xfId="0" applyFill="1" applyProtection="1"/>
    <xf numFmtId="0" fontId="74" fillId="0" borderId="0" xfId="0" applyFont="1" applyFill="1" applyAlignment="1" applyProtection="1">
      <alignment vertical="center"/>
    </xf>
    <xf numFmtId="0" fontId="67" fillId="0" borderId="0" xfId="0" applyFont="1" applyFill="1" applyAlignment="1" applyProtection="1">
      <alignment vertical="center"/>
    </xf>
    <xf numFmtId="0" fontId="65" fillId="0" borderId="0" xfId="0" applyFont="1" applyFill="1" applyAlignment="1" applyProtection="1">
      <alignment vertical="center"/>
    </xf>
    <xf numFmtId="0" fontId="0" fillId="0" borderId="0" xfId="0" applyProtection="1"/>
    <xf numFmtId="0" fontId="0" fillId="21" borderId="18" xfId="0" applyFill="1" applyBorder="1" applyProtection="1"/>
    <xf numFmtId="0" fontId="0" fillId="21" borderId="19" xfId="0" applyFill="1" applyBorder="1" applyProtection="1"/>
    <xf numFmtId="0" fontId="0" fillId="21" borderId="20" xfId="0" applyFill="1" applyBorder="1" applyProtection="1"/>
    <xf numFmtId="0" fontId="0" fillId="26" borderId="18" xfId="0" applyFill="1" applyBorder="1" applyProtection="1"/>
    <xf numFmtId="0" fontId="0" fillId="26" borderId="19" xfId="0" applyFill="1" applyBorder="1" applyProtection="1"/>
    <xf numFmtId="0" fontId="0" fillId="26" borderId="20" xfId="0" applyFill="1" applyBorder="1" applyProtection="1"/>
    <xf numFmtId="0" fontId="0" fillId="27" borderId="18" xfId="0" applyFill="1" applyBorder="1" applyProtection="1"/>
    <xf numFmtId="0" fontId="0" fillId="27" borderId="19" xfId="0" applyFill="1" applyBorder="1" applyProtection="1"/>
    <xf numFmtId="0" fontId="0" fillId="27" borderId="20" xfId="0" applyFill="1" applyBorder="1" applyProtection="1"/>
    <xf numFmtId="0" fontId="57" fillId="21" borderId="21" xfId="0" applyFont="1" applyFill="1" applyBorder="1" applyProtection="1"/>
    <xf numFmtId="0" fontId="81" fillId="21" borderId="0" xfId="0" applyFont="1" applyFill="1" applyBorder="1" applyAlignment="1" applyProtection="1">
      <alignment vertical="center"/>
    </xf>
    <xf numFmtId="0" fontId="70" fillId="21" borderId="0" xfId="0" applyFont="1" applyFill="1" applyBorder="1" applyAlignment="1" applyProtection="1">
      <alignment vertical="center"/>
    </xf>
    <xf numFmtId="0" fontId="69" fillId="21" borderId="22" xfId="0" applyFont="1" applyFill="1" applyBorder="1" applyAlignment="1" applyProtection="1">
      <alignment vertical="center"/>
    </xf>
    <xf numFmtId="0" fontId="70" fillId="0" borderId="0" xfId="0" applyFont="1" applyAlignment="1" applyProtection="1">
      <alignment vertical="center"/>
    </xf>
    <xf numFmtId="0" fontId="70" fillId="26" borderId="21" xfId="0" applyFont="1" applyFill="1" applyBorder="1" applyAlignment="1" applyProtection="1">
      <alignment vertical="center"/>
    </xf>
    <xf numFmtId="0" fontId="70" fillId="26" borderId="22" xfId="0" applyFont="1" applyFill="1" applyBorder="1" applyProtection="1"/>
    <xf numFmtId="0" fontId="70" fillId="0" borderId="0" xfId="0" applyFont="1" applyProtection="1"/>
    <xf numFmtId="0" fontId="70" fillId="27" borderId="21" xfId="0" applyFont="1" applyFill="1" applyBorder="1" applyProtection="1"/>
    <xf numFmtId="0" fontId="0" fillId="27" borderId="22" xfId="0" applyFill="1" applyBorder="1" applyProtection="1"/>
    <xf numFmtId="0" fontId="0" fillId="21" borderId="21" xfId="0" applyFont="1" applyFill="1" applyBorder="1" applyProtection="1"/>
    <xf numFmtId="0" fontId="9" fillId="21" borderId="0" xfId="0" applyFont="1" applyFill="1" applyBorder="1" applyAlignment="1" applyProtection="1">
      <alignment vertical="center"/>
    </xf>
    <xf numFmtId="0" fontId="0" fillId="21" borderId="0" xfId="0" applyFont="1" applyFill="1" applyBorder="1" applyAlignment="1" applyProtection="1">
      <alignment vertical="center"/>
    </xf>
    <xf numFmtId="0" fontId="0" fillId="21" borderId="22" xfId="0" applyFont="1" applyFill="1" applyBorder="1" applyAlignment="1" applyProtection="1">
      <alignment vertical="center"/>
    </xf>
    <xf numFmtId="0" fontId="0" fillId="0" borderId="0" xfId="0" applyAlignment="1" applyProtection="1">
      <alignment vertical="center"/>
    </xf>
    <xf numFmtId="0" fontId="57" fillId="26" borderId="21" xfId="0" applyFont="1" applyFill="1" applyBorder="1" applyAlignment="1" applyProtection="1">
      <alignment vertical="center"/>
    </xf>
    <xf numFmtId="0" fontId="0" fillId="26" borderId="0" xfId="0" applyFill="1" applyBorder="1" applyAlignment="1" applyProtection="1">
      <alignment vertical="center"/>
    </xf>
    <xf numFmtId="0" fontId="57" fillId="26" borderId="22" xfId="0" applyFont="1" applyFill="1" applyBorder="1" applyProtection="1"/>
    <xf numFmtId="0" fontId="57" fillId="27" borderId="21" xfId="0" applyFont="1" applyFill="1" applyBorder="1" applyProtection="1"/>
    <xf numFmtId="0" fontId="0" fillId="27" borderId="0" xfId="0" applyFill="1" applyBorder="1" applyProtection="1"/>
    <xf numFmtId="0" fontId="57" fillId="26" borderId="21" xfId="0" applyFont="1" applyFill="1" applyBorder="1" applyProtection="1"/>
    <xf numFmtId="0" fontId="66" fillId="26" borderId="0" xfId="0" applyFont="1" applyFill="1" applyBorder="1" applyAlignment="1" applyProtection="1">
      <alignment vertical="center"/>
    </xf>
    <xf numFmtId="0" fontId="57" fillId="26" borderId="22" xfId="0" applyFont="1" applyFill="1" applyBorder="1" applyAlignment="1" applyProtection="1">
      <alignment vertical="center"/>
    </xf>
    <xf numFmtId="0" fontId="63" fillId="27" borderId="0" xfId="0" applyFont="1" applyFill="1" applyBorder="1" applyAlignment="1" applyProtection="1">
      <alignment vertical="center"/>
    </xf>
    <xf numFmtId="2" fontId="71" fillId="0" borderId="14" xfId="0" applyNumberFormat="1" applyFont="1" applyFill="1" applyBorder="1" applyAlignment="1" applyProtection="1">
      <alignment horizontal="center" vertical="center"/>
    </xf>
    <xf numFmtId="0" fontId="57" fillId="27" borderId="22" xfId="0" applyFont="1" applyFill="1" applyBorder="1" applyProtection="1"/>
    <xf numFmtId="0" fontId="63" fillId="26" borderId="0" xfId="0" applyFont="1" applyFill="1" applyBorder="1" applyAlignment="1" applyProtection="1">
      <alignment vertical="center"/>
    </xf>
    <xf numFmtId="10" fontId="71" fillId="0" borderId="14" xfId="1" applyNumberFormat="1" applyFont="1" applyFill="1" applyBorder="1" applyAlignment="1" applyProtection="1">
      <alignment horizontal="center" vertical="center"/>
    </xf>
    <xf numFmtId="164" fontId="71" fillId="0" borderId="14" xfId="1" applyNumberFormat="1" applyFont="1" applyFill="1" applyBorder="1" applyAlignment="1" applyProtection="1">
      <alignment horizontal="center" vertical="center"/>
    </xf>
    <xf numFmtId="0" fontId="0" fillId="0" borderId="0" xfId="0" applyFont="1" applyProtection="1"/>
    <xf numFmtId="0" fontId="0" fillId="21" borderId="21" xfId="0" applyFill="1" applyBorder="1" applyProtection="1"/>
    <xf numFmtId="0" fontId="82" fillId="21" borderId="0" xfId="0" applyFont="1" applyFill="1" applyBorder="1" applyAlignment="1" applyProtection="1">
      <alignment vertical="center"/>
    </xf>
    <xf numFmtId="0" fontId="0" fillId="21" borderId="22" xfId="0" applyFill="1" applyBorder="1" applyAlignment="1" applyProtection="1">
      <alignment vertical="center"/>
    </xf>
    <xf numFmtId="0" fontId="0" fillId="0" borderId="0" xfId="0" applyFont="1" applyAlignment="1" applyProtection="1">
      <alignment vertical="center"/>
    </xf>
    <xf numFmtId="0" fontId="63" fillId="27" borderId="0" xfId="0" applyFont="1" applyFill="1" applyBorder="1" applyProtection="1"/>
    <xf numFmtId="0" fontId="71" fillId="27" borderId="0" xfId="0" applyFont="1" applyFill="1" applyBorder="1" applyProtection="1"/>
    <xf numFmtId="0" fontId="12" fillId="21" borderId="0" xfId="0" applyFont="1" applyFill="1" applyBorder="1" applyAlignment="1" applyProtection="1">
      <alignment vertical="center"/>
    </xf>
    <xf numFmtId="0" fontId="73" fillId="21" borderId="0" xfId="0" applyFont="1" applyFill="1" applyBorder="1" applyAlignment="1" applyProtection="1">
      <alignment vertical="center"/>
    </xf>
    <xf numFmtId="0" fontId="71" fillId="26" borderId="0" xfId="0" applyFont="1" applyFill="1" applyBorder="1" applyAlignment="1" applyProtection="1">
      <alignment vertical="center"/>
    </xf>
    <xf numFmtId="0" fontId="63" fillId="26" borderId="0" xfId="0" applyFont="1" applyFill="1" applyBorder="1" applyAlignment="1" applyProtection="1">
      <alignment horizontal="left" vertical="center"/>
    </xf>
    <xf numFmtId="1" fontId="71" fillId="0" borderId="14" xfId="0" applyNumberFormat="1" applyFont="1" applyFill="1" applyBorder="1" applyAlignment="1" applyProtection="1">
      <alignment horizontal="center" vertical="center"/>
    </xf>
    <xf numFmtId="0" fontId="73" fillId="21" borderId="0" xfId="0" applyFont="1" applyFill="1" applyBorder="1" applyAlignment="1" applyProtection="1">
      <alignment horizontal="center" vertical="center"/>
    </xf>
    <xf numFmtId="0" fontId="57" fillId="27" borderId="0" xfId="0" applyFont="1" applyFill="1" applyBorder="1" applyProtection="1"/>
    <xf numFmtId="0" fontId="0" fillId="26" borderId="22" xfId="0" applyFill="1" applyBorder="1" applyProtection="1"/>
    <xf numFmtId="0" fontId="0" fillId="26" borderId="21" xfId="0" applyFill="1" applyBorder="1" applyAlignment="1" applyProtection="1">
      <alignment vertical="center"/>
    </xf>
    <xf numFmtId="0" fontId="12" fillId="21" borderId="22" xfId="0" applyFont="1" applyFill="1" applyBorder="1" applyAlignment="1" applyProtection="1">
      <alignment vertical="center"/>
    </xf>
    <xf numFmtId="3" fontId="71" fillId="0" borderId="14" xfId="0" applyNumberFormat="1" applyFont="1" applyFill="1" applyBorder="1" applyAlignment="1" applyProtection="1">
      <alignment horizontal="center" vertical="center"/>
    </xf>
    <xf numFmtId="0" fontId="12" fillId="21" borderId="0" xfId="0" applyFont="1" applyFill="1" applyBorder="1" applyAlignment="1" applyProtection="1">
      <alignment horizontal="left" vertical="center"/>
    </xf>
    <xf numFmtId="0" fontId="12" fillId="26" borderId="0" xfId="0" applyFont="1" applyFill="1" applyBorder="1" applyAlignment="1" applyProtection="1">
      <alignment vertical="center"/>
    </xf>
    <xf numFmtId="0" fontId="66" fillId="26" borderId="0" xfId="0" applyFont="1" applyFill="1" applyBorder="1" applyAlignment="1" applyProtection="1">
      <alignment horizontal="left" vertical="center"/>
    </xf>
    <xf numFmtId="0" fontId="71" fillId="26" borderId="0" xfId="0" applyFont="1" applyFill="1" applyBorder="1" applyAlignment="1" applyProtection="1">
      <alignment horizontal="left" vertical="center"/>
    </xf>
    <xf numFmtId="0" fontId="0" fillId="27" borderId="21" xfId="0" applyFill="1" applyBorder="1" applyProtection="1"/>
    <xf numFmtId="0" fontId="0" fillId="21" borderId="23" xfId="0" applyFill="1" applyBorder="1" applyProtection="1"/>
    <xf numFmtId="0" fontId="0" fillId="21" borderId="24" xfId="0" applyFill="1" applyBorder="1" applyAlignment="1" applyProtection="1">
      <alignment vertical="center"/>
    </xf>
    <xf numFmtId="0" fontId="0" fillId="21" borderId="25" xfId="0" applyFill="1" applyBorder="1" applyAlignment="1" applyProtection="1">
      <alignment vertical="center"/>
    </xf>
    <xf numFmtId="0" fontId="59" fillId="26" borderId="0" xfId="0" applyFont="1" applyFill="1" applyBorder="1" applyAlignment="1" applyProtection="1">
      <alignment horizontal="left" vertical="center"/>
    </xf>
    <xf numFmtId="1" fontId="72" fillId="0" borderId="14" xfId="0" applyNumberFormat="1" applyFont="1" applyFill="1" applyBorder="1" applyAlignment="1" applyProtection="1">
      <alignment horizontal="center" vertical="center"/>
    </xf>
    <xf numFmtId="0" fontId="84" fillId="0" borderId="0" xfId="0" applyFont="1" applyFill="1" applyBorder="1" applyProtection="1"/>
    <xf numFmtId="0" fontId="17" fillId="0" borderId="0" xfId="0" applyFont="1" applyFill="1" applyBorder="1" applyAlignment="1" applyProtection="1">
      <alignment vertical="center"/>
    </xf>
    <xf numFmtId="0" fontId="0" fillId="0" borderId="0" xfId="0" applyFill="1" applyAlignment="1" applyProtection="1">
      <alignment vertical="center"/>
    </xf>
    <xf numFmtId="1" fontId="71" fillId="0" borderId="16" xfId="0" applyNumberFormat="1" applyFont="1" applyFill="1" applyBorder="1" applyAlignment="1" applyProtection="1">
      <alignment horizontal="center" vertical="center"/>
    </xf>
    <xf numFmtId="0" fontId="0" fillId="0" borderId="0" xfId="0" applyFill="1" applyBorder="1" applyProtection="1"/>
    <xf numFmtId="0" fontId="17" fillId="0" borderId="0" xfId="0" applyFont="1" applyProtection="1"/>
    <xf numFmtId="0" fontId="11" fillId="0" borderId="0" xfId="0" applyFont="1" applyProtection="1"/>
    <xf numFmtId="0" fontId="0" fillId="26" borderId="21" xfId="0" applyFill="1" applyBorder="1" applyProtection="1"/>
    <xf numFmtId="164" fontId="71" fillId="0" borderId="14" xfId="0" applyNumberFormat="1" applyFont="1" applyFill="1" applyBorder="1" applyAlignment="1" applyProtection="1">
      <alignment horizontal="center" vertical="center"/>
    </xf>
    <xf numFmtId="0" fontId="0" fillId="26" borderId="23" xfId="0" applyFill="1" applyBorder="1" applyProtection="1"/>
    <xf numFmtId="0" fontId="0" fillId="26" borderId="24" xfId="0" applyFill="1" applyBorder="1" applyProtection="1"/>
    <xf numFmtId="0" fontId="0" fillId="26" borderId="25" xfId="0" applyFill="1" applyBorder="1" applyProtection="1"/>
    <xf numFmtId="0" fontId="0" fillId="27" borderId="23" xfId="0" applyFill="1" applyBorder="1" applyProtection="1"/>
    <xf numFmtId="0" fontId="0" fillId="27" borderId="24" xfId="0" applyFill="1" applyBorder="1" applyProtection="1"/>
    <xf numFmtId="0" fontId="0" fillId="27" borderId="25" xfId="0" applyFill="1" applyBorder="1" applyProtection="1"/>
    <xf numFmtId="0" fontId="75" fillId="0" borderId="0" xfId="0" applyFont="1" applyFill="1" applyBorder="1" applyProtection="1"/>
    <xf numFmtId="0" fontId="64" fillId="0" borderId="0" xfId="0" applyFont="1" applyFill="1" applyBorder="1" applyAlignment="1" applyProtection="1">
      <alignment vertical="center"/>
    </xf>
    <xf numFmtId="0" fontId="0" fillId="0" borderId="0" xfId="0" applyBorder="1" applyProtection="1"/>
    <xf numFmtId="0" fontId="80" fillId="0" borderId="27" xfId="20" applyFont="1" applyFill="1" applyBorder="1" applyAlignment="1">
      <alignment horizontal="left" vertical="center" wrapText="1"/>
    </xf>
    <xf numFmtId="0" fontId="80" fillId="0" borderId="28" xfId="20" applyFont="1" applyFill="1" applyBorder="1" applyAlignment="1">
      <alignment horizontal="left" vertical="center" wrapText="1"/>
    </xf>
    <xf numFmtId="0" fontId="80" fillId="0" borderId="29" xfId="20" applyFont="1" applyFill="1" applyBorder="1" applyAlignment="1">
      <alignment horizontal="left" vertical="center" wrapText="1"/>
    </xf>
    <xf numFmtId="0" fontId="83" fillId="31" borderId="30" xfId="20" applyFont="1" applyFill="1" applyBorder="1" applyAlignment="1">
      <alignment horizontal="left" vertical="center" wrapText="1"/>
    </xf>
    <xf numFmtId="0" fontId="83" fillId="31" borderId="31" xfId="20" applyFont="1" applyFill="1" applyBorder="1" applyAlignment="1">
      <alignment horizontal="left" vertical="center" wrapText="1"/>
    </xf>
    <xf numFmtId="0" fontId="83" fillId="31" borderId="32" xfId="20" applyFont="1" applyFill="1" applyBorder="1" applyAlignment="1">
      <alignment horizontal="left" vertical="center" wrapText="1"/>
    </xf>
    <xf numFmtId="0" fontId="77" fillId="0" borderId="0" xfId="20" applyFont="1" applyAlignment="1">
      <alignment horizontal="left" wrapText="1"/>
    </xf>
    <xf numFmtId="0" fontId="26" fillId="0" borderId="0" xfId="20" applyFont="1" applyAlignment="1">
      <alignment horizontal="left" vertical="top" wrapText="1"/>
    </xf>
    <xf numFmtId="0" fontId="79" fillId="0" borderId="0" xfId="20" applyFont="1" applyAlignment="1">
      <alignment horizontal="left" vertical="top" wrapText="1"/>
    </xf>
    <xf numFmtId="0" fontId="26" fillId="30" borderId="34" xfId="20" applyFont="1" applyFill="1" applyBorder="1" applyAlignment="1">
      <alignment horizontal="left" vertical="center" wrapText="1"/>
    </xf>
    <xf numFmtId="0" fontId="26" fillId="30" borderId="35" xfId="20" applyFont="1" applyFill="1" applyBorder="1" applyAlignment="1">
      <alignment horizontal="left" vertical="center" wrapText="1"/>
    </xf>
    <xf numFmtId="0" fontId="26" fillId="30" borderId="36" xfId="20" applyFont="1" applyFill="1" applyBorder="1" applyAlignment="1">
      <alignment horizontal="left" vertical="center" wrapText="1"/>
    </xf>
    <xf numFmtId="0" fontId="68" fillId="27" borderId="0" xfId="0" applyFont="1" applyFill="1" applyBorder="1" applyAlignment="1" applyProtection="1">
      <alignment horizontal="left" vertical="center"/>
    </xf>
    <xf numFmtId="0" fontId="68" fillId="26" borderId="0" xfId="0" applyFont="1" applyFill="1" applyBorder="1" applyAlignment="1" applyProtection="1">
      <alignment horizontal="left" vertical="center"/>
    </xf>
    <xf numFmtId="2" fontId="71" fillId="0" borderId="16" xfId="0" applyNumberFormat="1" applyFont="1" applyFill="1" applyBorder="1" applyAlignment="1" applyProtection="1">
      <alignment horizontal="center" vertical="center" wrapText="1"/>
    </xf>
    <xf numFmtId="2" fontId="71" fillId="0" borderId="17" xfId="0" applyNumberFormat="1" applyFont="1" applyFill="1" applyBorder="1" applyAlignment="1" applyProtection="1">
      <alignment horizontal="center" vertical="center" wrapText="1"/>
    </xf>
    <xf numFmtId="0" fontId="73" fillId="21" borderId="37" xfId="0" applyFont="1" applyFill="1" applyBorder="1" applyAlignment="1" applyProtection="1">
      <alignment horizontal="center" vertical="center" wrapText="1"/>
      <protection locked="0"/>
    </xf>
    <xf numFmtId="0" fontId="73" fillId="21" borderId="38" xfId="0" applyFont="1" applyFill="1" applyBorder="1" applyAlignment="1" applyProtection="1">
      <alignment horizontal="center" vertical="center" wrapText="1"/>
      <protection locked="0"/>
    </xf>
    <xf numFmtId="0" fontId="0" fillId="21" borderId="0" xfId="0" applyFont="1" applyFill="1" applyBorder="1" applyAlignment="1" applyProtection="1">
      <alignment horizontal="left" vertical="top" wrapText="1"/>
    </xf>
    <xf numFmtId="9" fontId="73" fillId="21" borderId="37" xfId="1" applyFont="1" applyFill="1" applyBorder="1" applyAlignment="1" applyProtection="1">
      <alignment horizontal="center" vertical="center" wrapText="1"/>
      <protection locked="0"/>
    </xf>
    <xf numFmtId="9" fontId="73" fillId="21" borderId="38" xfId="1" applyFont="1" applyFill="1" applyBorder="1" applyAlignment="1" applyProtection="1">
      <alignment horizontal="center" vertical="center" wrapText="1"/>
      <protection locked="0"/>
    </xf>
    <xf numFmtId="0" fontId="85" fillId="0" borderId="0" xfId="0" applyFont="1" applyFill="1" applyBorder="1" applyAlignment="1" applyProtection="1">
      <alignment horizontal="left" vertical="top" wrapText="1"/>
    </xf>
    <xf numFmtId="0" fontId="82" fillId="21" borderId="0" xfId="0" applyFont="1" applyFill="1" applyBorder="1" applyAlignment="1" applyProtection="1">
      <alignment horizontal="left" vertical="center" wrapText="1"/>
    </xf>
    <xf numFmtId="0" fontId="63" fillId="26" borderId="7" xfId="0" applyFont="1" applyFill="1" applyBorder="1" applyAlignment="1" applyProtection="1">
      <alignment horizontal="left" vertical="center"/>
    </xf>
    <xf numFmtId="0" fontId="60" fillId="0" borderId="0" xfId="0" applyFont="1" applyAlignment="1">
      <alignment horizontal="center"/>
    </xf>
    <xf numFmtId="0" fontId="17" fillId="0" borderId="2" xfId="0" applyFont="1" applyFill="1" applyBorder="1" applyAlignment="1">
      <alignment horizontal="left"/>
    </xf>
    <xf numFmtId="0" fontId="17" fillId="0" borderId="0" xfId="0" applyFont="1" applyFill="1" applyBorder="1" applyAlignment="1">
      <alignment horizontal="left" vertical="top" wrapText="1"/>
    </xf>
    <xf numFmtId="0" fontId="17" fillId="0" borderId="0" xfId="0" applyFont="1" applyFill="1" applyBorder="1" applyAlignment="1">
      <alignment horizontal="left"/>
    </xf>
    <xf numFmtId="0" fontId="0" fillId="0" borderId="0" xfId="0" applyAlignment="1">
      <alignment horizontal="left" vertical="center" wrapText="1"/>
    </xf>
    <xf numFmtId="0" fontId="18" fillId="17" borderId="0" xfId="0" applyFont="1" applyFill="1" applyBorder="1" applyAlignment="1">
      <alignment horizontal="center"/>
    </xf>
    <xf numFmtId="0" fontId="18" fillId="18" borderId="0" xfId="0" applyFont="1" applyFill="1" applyBorder="1" applyAlignment="1">
      <alignment horizontal="center"/>
    </xf>
    <xf numFmtId="0" fontId="18" fillId="19" borderId="0" xfId="0" applyFont="1" applyFill="1" applyBorder="1" applyAlignment="1">
      <alignment horizontal="center"/>
    </xf>
    <xf numFmtId="0" fontId="25" fillId="14" borderId="0" xfId="0" applyFont="1" applyFill="1" applyBorder="1" applyAlignment="1">
      <alignment horizontal="center"/>
    </xf>
    <xf numFmtId="0" fontId="23" fillId="18" borderId="0" xfId="0" applyFont="1" applyFill="1" applyBorder="1" applyAlignment="1">
      <alignment horizontal="center"/>
    </xf>
    <xf numFmtId="0" fontId="23" fillId="19" borderId="0" xfId="0" applyFont="1" applyFill="1" applyBorder="1" applyAlignment="1">
      <alignment horizontal="center"/>
    </xf>
    <xf numFmtId="0" fontId="23" fillId="20" borderId="0" xfId="0" applyFont="1" applyFill="1" applyBorder="1" applyAlignment="1">
      <alignment horizontal="center"/>
    </xf>
    <xf numFmtId="0" fontId="23" fillId="17" borderId="0" xfId="0" applyFont="1" applyFill="1" applyBorder="1" applyAlignment="1">
      <alignment horizontal="center"/>
    </xf>
    <xf numFmtId="0" fontId="23" fillId="14" borderId="0" xfId="0" applyFont="1" applyFill="1" applyAlignment="1">
      <alignment horizontal="center"/>
    </xf>
    <xf numFmtId="0" fontId="9" fillId="0" borderId="2" xfId="0" applyFont="1" applyBorder="1" applyAlignment="1">
      <alignment horizontal="center" wrapText="1"/>
    </xf>
  </cellXfs>
  <cellStyles count="23">
    <cellStyle name="Bad" xfId="8" builtinId="27"/>
    <cellStyle name="Bad 2" xfId="16"/>
    <cellStyle name="Comma" xfId="6" builtinId="3"/>
    <cellStyle name="Comma 2" xfId="14"/>
    <cellStyle name="Comma 3" xfId="21"/>
    <cellStyle name="Currency" xfId="5" builtinId="4"/>
    <cellStyle name="Explanatory Text" xfId="12" builtinId="53"/>
    <cellStyle name="Explanatory Text 2" xfId="19"/>
    <cellStyle name="Good" xfId="7" builtinId="26"/>
    <cellStyle name="Good 2" xfId="13"/>
    <cellStyle name="Input" xfId="10" builtinId="20"/>
    <cellStyle name="Linked Cell" xfId="11" builtinId="24"/>
    <cellStyle name="Linked Cell 2" xfId="15"/>
    <cellStyle name="Neutral" xfId="9" builtinId="28"/>
    <cellStyle name="Neutral 2" xfId="18"/>
    <cellStyle name="Normal" xfId="0" builtinId="0"/>
    <cellStyle name="Normal 2" xfId="2"/>
    <cellStyle name="Normal 3" xfId="4"/>
    <cellStyle name="Normal 4" xfId="20"/>
    <cellStyle name="Normal_RESFIN" xfId="3"/>
    <cellStyle name="Percent" xfId="1" builtinId="5"/>
    <cellStyle name="Percent 2" xfId="17"/>
    <cellStyle name="Percent 3" xfId="22"/>
  </cellStyles>
  <dxfs count="3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3" formatCode="0%"/>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9"/>
        <color theme="1"/>
        <name val="Arial"/>
        <scheme val="none"/>
      </font>
      <alignment horizontal="center" vertical="center"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73" formatCode="_(* #,##0_);_(* \(#,##0\);_(* &quot;-&quot;??_);_(@_)"/>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rgb="FF9C0006"/>
      </font>
      <fill>
        <patternFill>
          <bgColor rgb="FFFFC7CE"/>
        </patternFill>
      </fill>
    </dxf>
    <dxf>
      <font>
        <color rgb="FFC00000"/>
      </font>
      <fill>
        <patternFill>
          <bgColor rgb="FFFFC9C9"/>
        </patternFill>
      </fill>
    </dxf>
    <dxf>
      <font>
        <color rgb="FF9C0006"/>
      </font>
      <fill>
        <patternFill>
          <bgColor rgb="FFFFC7CE"/>
        </patternFill>
      </fill>
    </dxf>
    <dxf>
      <font>
        <color rgb="FFC00000"/>
      </font>
      <fill>
        <patternFill>
          <bgColor rgb="FFFFC1C1"/>
        </patternFill>
      </fill>
    </dxf>
    <dxf>
      <font>
        <color rgb="FFC00000"/>
      </font>
      <fill>
        <patternFill>
          <bgColor rgb="FFFFC1C1"/>
        </patternFill>
      </fill>
    </dxf>
    <dxf>
      <font>
        <color rgb="FF9C0006"/>
      </font>
      <fill>
        <patternFill>
          <bgColor rgb="FFFFC7CE"/>
        </patternFill>
      </fill>
    </dxf>
    <dxf>
      <font>
        <color rgb="FF006100"/>
      </font>
      <fill>
        <patternFill>
          <bgColor rgb="FFC6EFCE"/>
        </patternFill>
      </fill>
    </dxf>
    <dxf>
      <font>
        <color rgb="FFC00000"/>
      </font>
      <fill>
        <patternFill>
          <bgColor rgb="FFFFD5D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FFC1C1"/>
      <color rgb="FF0FA98F"/>
      <color rgb="FFFFB3B3"/>
      <color rgb="FFFFA3A3"/>
      <color rgb="FFFFC9C9"/>
      <color rgb="FF4D79C7"/>
      <color rgb="FF6F7FF9"/>
      <color rgb="FF7093D2"/>
      <color rgb="FF7496F4"/>
      <color rgb="FF5757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theme" Target="theme/them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618563438292943"/>
          <c:y val="6.3597671465188119E-2"/>
          <c:w val="0.72276003945487699"/>
          <c:h val="0.77025320008982712"/>
        </c:manualLayout>
      </c:layout>
      <c:barChart>
        <c:barDir val="col"/>
        <c:grouping val="clustered"/>
        <c:varyColors val="0"/>
        <c:ser>
          <c:idx val="0"/>
          <c:order val="0"/>
          <c:tx>
            <c:strRef>
              <c:f>'4. Pro Forma'!$B$66</c:f>
              <c:strCache>
                <c:ptCount val="1"/>
                <c:pt idx="0">
                  <c:v>Target Yield-on-cost</c:v>
                </c:pt>
              </c:strCache>
            </c:strRef>
          </c:tx>
          <c:spPr>
            <a:solidFill>
              <a:schemeClr val="bg1">
                <a:lumMod val="75000"/>
              </a:schemeClr>
            </a:solidFill>
            <a:ln w="9525">
              <a:solidFill>
                <a:schemeClr val="bg1"/>
              </a:solidFill>
            </a:ln>
          </c:spPr>
          <c:invertIfNegative val="0"/>
          <c:dPt>
            <c:idx val="0"/>
            <c:invertIfNegative val="0"/>
            <c:bubble3D val="0"/>
            <c:spPr>
              <a:solidFill>
                <a:schemeClr val="bg1">
                  <a:lumMod val="75000"/>
                </a:schemeClr>
              </a:solidFill>
              <a:ln w="9525">
                <a:solidFill>
                  <a:schemeClr val="bg1"/>
                </a:solidFill>
                <a:prstDash val="dash"/>
              </a:ln>
            </c:spPr>
            <c:extLst xmlns:c16r2="http://schemas.microsoft.com/office/drawing/2015/06/chart">
              <c:ext xmlns:c16="http://schemas.microsoft.com/office/drawing/2014/chart" uri="{C3380CC4-5D6E-409C-BE32-E72D297353CC}">
                <c16:uniqueId val="{00000004-BBC8-4E7C-B28B-EA9A1C66752D}"/>
              </c:ext>
            </c:extLst>
          </c:dPt>
          <c:dLbls>
            <c:spPr>
              <a:noFill/>
              <a:ln>
                <a:noFill/>
              </a:ln>
              <a:effectLst/>
            </c:spPr>
            <c:txPr>
              <a:bodyPr/>
              <a:lstStyle/>
              <a:p>
                <a:pPr>
                  <a:defRPr b="1">
                    <a:solidFill>
                      <a:schemeClr val="bg1"/>
                    </a:solidFill>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val>
            <c:numRef>
              <c:f>'4. Pro Forma'!$I$66</c:f>
              <c:numCache>
                <c:formatCode>0.00%</c:formatCode>
                <c:ptCount val="1"/>
                <c:pt idx="0">
                  <c:v>5.5E-2</c:v>
                </c:pt>
              </c:numCache>
            </c:numRef>
          </c:val>
          <c:extLst xmlns:c16r2="http://schemas.microsoft.com/office/drawing/2015/06/chart">
            <c:ext xmlns:c16="http://schemas.microsoft.com/office/drawing/2014/chart" uri="{C3380CC4-5D6E-409C-BE32-E72D297353CC}">
              <c16:uniqueId val="{00000003-BBC8-4E7C-B28B-EA9A1C66752D}"/>
            </c:ext>
          </c:extLst>
        </c:ser>
        <c:ser>
          <c:idx val="3"/>
          <c:order val="1"/>
          <c:tx>
            <c:strRef>
              <c:f>'4. Pro Forma'!$B$65</c:f>
              <c:strCache>
                <c:ptCount val="1"/>
                <c:pt idx="0">
                  <c:v>Project Yield-on-cost</c:v>
                </c:pt>
              </c:strCache>
            </c:strRef>
          </c:tx>
          <c:spPr>
            <a:solidFill>
              <a:schemeClr val="accent1">
                <a:lumMod val="20000"/>
                <a:lumOff val="80000"/>
              </a:schemeClr>
            </a:solidFill>
            <a:ln w="15875">
              <a:solidFill>
                <a:schemeClr val="bg1"/>
              </a:solidFill>
            </a:ln>
            <a:effectLst/>
          </c:spPr>
          <c:invertIfNegative val="0"/>
          <c:dPt>
            <c:idx val="0"/>
            <c:invertIfNegative val="0"/>
            <c:bubble3D val="0"/>
            <c:extLst xmlns:c16r2="http://schemas.microsoft.com/office/drawing/2015/06/chart">
              <c:ext xmlns:c16="http://schemas.microsoft.com/office/drawing/2014/chart" uri="{C3380CC4-5D6E-409C-BE32-E72D297353CC}">
                <c16:uniqueId val="{00000001-DF9A-4828-B6B9-900A4B86AC9B}"/>
              </c:ext>
            </c:extLst>
          </c:dPt>
          <c:dLbls>
            <c:spPr>
              <a:noFill/>
              <a:ln>
                <a:noFill/>
              </a:ln>
              <a:effectLst/>
            </c:spPr>
            <c:txPr>
              <a:bodyPr/>
              <a:lstStyle/>
              <a:p>
                <a:pPr>
                  <a:defRPr b="1">
                    <a:solidFill>
                      <a:schemeClr val="bg1"/>
                    </a:solidFill>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'4. Pro Forma'!$D$14:$N$14</c:f>
              <c:strCache>
                <c:ptCount val="1"/>
                <c:pt idx="0">
                  <c:v>Dynamic Prototype</c:v>
                </c:pt>
              </c:strCache>
            </c:strRef>
          </c:cat>
          <c:val>
            <c:numRef>
              <c:f>'4. Pro Forma'!$D$65:$I$65</c:f>
              <c:numCache>
                <c:formatCode>0.00%</c:formatCode>
                <c:ptCount val="1"/>
                <c:pt idx="0">
                  <c:v>5.2146494426127725E-2</c:v>
                </c:pt>
              </c:numCache>
            </c:numRef>
          </c:val>
          <c:extLst xmlns:c16r2="http://schemas.microsoft.com/office/drawing/2015/06/chart">
            <c:ext xmlns:c16="http://schemas.microsoft.com/office/drawing/2014/chart" uri="{C3380CC4-5D6E-409C-BE32-E72D297353CC}">
              <c16:uniqueId val="{00000002-DF9A-4828-B6B9-900A4B86AC9B}"/>
            </c:ext>
          </c:extLst>
        </c:ser>
        <c:dLbls>
          <c:dLblPos val="outEnd"/>
          <c:showLegendKey val="0"/>
          <c:showVal val="1"/>
          <c:showCatName val="0"/>
          <c:showSerName val="0"/>
          <c:showPercent val="0"/>
          <c:showBubbleSize val="0"/>
        </c:dLbls>
        <c:gapWidth val="50"/>
        <c:overlap val="-45"/>
        <c:axId val="139668144"/>
        <c:axId val="139665008"/>
      </c:barChart>
      <c:catAx>
        <c:axId val="139668144"/>
        <c:scaling>
          <c:orientation val="minMax"/>
        </c:scaling>
        <c:delete val="1"/>
        <c:axPos val="b"/>
        <c:numFmt formatCode="General" sourceLinked="1"/>
        <c:majorTickMark val="none"/>
        <c:minorTickMark val="none"/>
        <c:tickLblPos val="nextTo"/>
        <c:crossAx val="139665008"/>
        <c:crosses val="autoZero"/>
        <c:auto val="1"/>
        <c:lblAlgn val="ctr"/>
        <c:lblOffset val="100"/>
        <c:noMultiLvlLbl val="0"/>
      </c:catAx>
      <c:valAx>
        <c:axId val="139665008"/>
        <c:scaling>
          <c:orientation val="minMax"/>
          <c:min val="0"/>
        </c:scaling>
        <c:delete val="0"/>
        <c:axPos val="l"/>
        <c:majorGridlines>
          <c:spPr>
            <a:ln w="3175" cap="flat" cmpd="sng" algn="ctr">
              <a:solidFill>
                <a:schemeClr val="accent1">
                  <a:lumMod val="60000"/>
                  <a:lumOff val="40000"/>
                  <a:alpha val="75000"/>
                </a:schemeClr>
              </a:solidFill>
              <a:round/>
            </a:ln>
            <a:effectLst/>
          </c:spPr>
        </c:majorGridlines>
        <c:title>
          <c:tx>
            <c:rich>
              <a:bodyPr/>
              <a:lstStyle/>
              <a:p>
                <a:pPr>
                  <a:defRPr b="0"/>
                </a:pPr>
                <a:r>
                  <a:rPr lang="en-US" b="0"/>
                  <a:t>Yield On Cost (YOC)</a:t>
                </a:r>
              </a:p>
            </c:rich>
          </c:tx>
          <c:layout>
            <c:manualLayout>
              <c:xMode val="edge"/>
              <c:yMode val="edge"/>
              <c:x val="6.9196567678326201E-3"/>
              <c:y val="0.18664146426666162"/>
            </c:manualLayout>
          </c:layout>
          <c:overlay val="0"/>
        </c:title>
        <c:numFmt formatCode="0.00%" sourceLinked="1"/>
        <c:majorTickMark val="out"/>
        <c:minorTickMark val="none"/>
        <c:tickLblPos val="nextTo"/>
        <c:spPr>
          <a:noFill/>
          <a:ln>
            <a:noFill/>
          </a:ln>
          <a:effectLst/>
        </c:spPr>
        <c:txPr>
          <a:bodyPr rot="-60000000" vert="horz"/>
          <a:lstStyle/>
          <a:p>
            <a:pPr>
              <a:defRPr/>
            </a:pPr>
            <a:endParaRPr lang="en-US"/>
          </a:p>
        </c:txPr>
        <c:crossAx val="139668144"/>
        <c:crosses val="autoZero"/>
        <c:crossBetween val="between"/>
      </c:valAx>
      <c:spPr>
        <a:solidFill>
          <a:srgbClr val="4D79C7"/>
        </a:solidFill>
      </c:spPr>
    </c:plotArea>
    <c:legend>
      <c:legendPos val="b"/>
      <c:layout>
        <c:manualLayout>
          <c:xMode val="edge"/>
          <c:yMode val="edge"/>
          <c:x val="6.8850789754808614E-2"/>
          <c:y val="0.89717357228172678"/>
          <c:w val="0.9"/>
          <c:h val="8.7973869932925053E-2"/>
        </c:manualLayout>
      </c:layout>
      <c:overlay val="0"/>
      <c:spPr>
        <a:solidFill>
          <a:srgbClr val="4D79C7"/>
        </a:solidFill>
      </c:spPr>
    </c:legend>
    <c:plotVisOnly val="1"/>
    <c:dispBlanksAs val="gap"/>
    <c:showDLblsOverMax val="0"/>
    <c:extLst xmlns:c16r2="http://schemas.microsoft.com/office/drawing/2015/06/chart"/>
  </c:chart>
  <c:spPr>
    <a:solidFill>
      <a:srgbClr val="4D79C7"/>
    </a:solidFill>
    <a:ln w="15875" cap="flat" cmpd="sng" algn="ctr">
      <a:noFill/>
      <a:round/>
    </a:ln>
    <a:effectLst/>
  </c:spPr>
  <c:txPr>
    <a:bodyPr/>
    <a:lstStyle/>
    <a:p>
      <a:pPr>
        <a:defRPr sz="800">
          <a:solidFill>
            <a:schemeClr val="bg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229991232375736E-2"/>
          <c:y val="0.10257551830008813"/>
          <c:w val="0.86324428663516017"/>
          <c:h val="0.79077242170985784"/>
        </c:manualLayout>
      </c:layout>
      <c:barChart>
        <c:barDir val="col"/>
        <c:grouping val="clustered"/>
        <c:varyColors val="0"/>
        <c:ser>
          <c:idx val="3"/>
          <c:order val="1"/>
          <c:tx>
            <c:strRef>
              <c:f>'Pro Forma UG Parking'!$B$61</c:f>
              <c:strCache>
                <c:ptCount val="1"/>
                <c:pt idx="0">
                  <c:v>Project Yield-on-cost</c:v>
                </c:pt>
              </c:strCache>
            </c:strRef>
          </c:tx>
          <c:spPr>
            <a:solidFill>
              <a:schemeClr val="accent4"/>
            </a:solidFill>
            <a:ln>
              <a:noFill/>
            </a:ln>
            <a:effectLst/>
          </c:spPr>
          <c:invertIfNegative val="0"/>
          <c:dPt>
            <c:idx val="0"/>
            <c:invertIfNegative val="0"/>
            <c:bubble3D val="0"/>
            <c:spPr>
              <a:solidFill>
                <a:schemeClr val="accent5">
                  <a:lumMod val="60000"/>
                  <a:lumOff val="40000"/>
                </a:schemeClr>
              </a:solidFill>
              <a:ln>
                <a:noFill/>
              </a:ln>
              <a:effectLst/>
            </c:spPr>
            <c:extLst xmlns:c16r2="http://schemas.microsoft.com/office/drawing/2015/06/chart">
              <c:ext xmlns:c16="http://schemas.microsoft.com/office/drawing/2014/chart" uri="{C3380CC4-5D6E-409C-BE32-E72D297353CC}">
                <c16:uniqueId val="{00000001-0D6A-4616-B0B8-F3B262C6EBF6}"/>
              </c:ext>
            </c:extLst>
          </c:dPt>
          <c:dPt>
            <c:idx val="2"/>
            <c:invertIfNegative val="0"/>
            <c:bubble3D val="0"/>
            <c:spPr>
              <a:solidFill>
                <a:srgbClr val="F3895F"/>
              </a:solidFill>
              <a:ln>
                <a:noFill/>
              </a:ln>
              <a:effectLst/>
            </c:spPr>
            <c:extLst xmlns:c16r2="http://schemas.microsoft.com/office/drawing/2015/06/chart">
              <c:ext xmlns:c16="http://schemas.microsoft.com/office/drawing/2014/chart" uri="{C3380CC4-5D6E-409C-BE32-E72D297353CC}">
                <c16:uniqueId val="{00000003-009A-D748-86FF-D7F3B024B9D0}"/>
              </c:ext>
            </c:extLst>
          </c:dPt>
          <c:dLbls>
            <c:dLbl>
              <c:idx val="2"/>
              <c:layout>
                <c:manualLayout>
                  <c:x val="-1.2820167061675698E-16"/>
                  <c:y val="4.460966020435439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009A-D748-86FF-D7F3B024B9D0}"/>
                </c:ex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050"/>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'Pro Forma UG Parking'!$D$13:$L$13</c:f>
              <c:strCache>
                <c:ptCount val="8"/>
                <c:pt idx="0">
                  <c:v>Prototype 1
(Max FAR)</c:v>
                </c:pt>
                <c:pt idx="1">
                  <c:v>Prototype 2
(Max Height and Required Parking) </c:v>
                </c:pt>
                <c:pt idx="2">
                  <c:v>Prototype 3
(Max Building Type)</c:v>
                </c:pt>
                <c:pt idx="3">
                  <c:v>Prototype 4
(Max Height and Required Parking)</c:v>
                </c:pt>
                <c:pt idx="4">
                  <c:v>Prototype 5
(Max Building Type)</c:v>
                </c:pt>
                <c:pt idx="5">
                  <c:v>Prototype 6
(Height 35 feet)</c:v>
                </c:pt>
                <c:pt idx="6">
                  <c:v>9 - 35 feet</c:v>
                </c:pt>
                <c:pt idx="7">
                  <c:v>Prototype 8
(Height 45 feet)</c:v>
                </c:pt>
              </c:strCache>
            </c:strRef>
          </c:cat>
          <c:val>
            <c:numRef>
              <c:f>'Pro Forma UG Parking'!$I$61:$L$61</c:f>
              <c:numCache>
                <c:formatCode>0.00%</c:formatCode>
                <c:ptCount val="3"/>
                <c:pt idx="0">
                  <c:v>3.0669131011744427E-2</c:v>
                </c:pt>
                <c:pt idx="1">
                  <c:v>3.3875853056005288E-2</c:v>
                </c:pt>
                <c:pt idx="2">
                  <c:v>3.9458560620606153E-2</c:v>
                </c:pt>
              </c:numCache>
            </c:numRef>
          </c:val>
          <c:extLst xmlns:c16r2="http://schemas.microsoft.com/office/drawing/2015/06/chart">
            <c:ext xmlns:c16="http://schemas.microsoft.com/office/drawing/2014/chart" uri="{C3380CC4-5D6E-409C-BE32-E72D297353CC}">
              <c16:uniqueId val="{00000006-0D6A-4616-B0B8-F3B262C6EBF6}"/>
            </c:ext>
          </c:extLst>
        </c:ser>
        <c:dLbls>
          <c:showLegendKey val="0"/>
          <c:showVal val="0"/>
          <c:showCatName val="0"/>
          <c:showSerName val="0"/>
          <c:showPercent val="0"/>
          <c:showBubbleSize val="0"/>
        </c:dLbls>
        <c:gapWidth val="75"/>
        <c:axId val="347833896"/>
        <c:axId val="347834288"/>
      </c:barChart>
      <c:lineChart>
        <c:grouping val="standard"/>
        <c:varyColors val="0"/>
        <c:ser>
          <c:idx val="0"/>
          <c:order val="0"/>
          <c:tx>
            <c:strRef>
              <c:f>'Pro Forma UG Parking'!$B$62</c:f>
              <c:strCache>
                <c:ptCount val="1"/>
                <c:pt idx="0">
                  <c:v>Minimum Yield-on-cost Feasibility</c:v>
                </c:pt>
              </c:strCache>
            </c:strRef>
          </c:tx>
          <c:spPr>
            <a:ln w="41275" cap="flat">
              <a:solidFill>
                <a:schemeClr val="tx1"/>
              </a:solidFill>
              <a:prstDash val="sysDash"/>
            </a:ln>
          </c:spPr>
          <c:marker>
            <c:symbol val="none"/>
          </c:marker>
          <c:dLbls>
            <c:delete val="1"/>
          </c:dLbls>
          <c:cat>
            <c:strRef>
              <c:f>'Pro Forma UG Parking'!$I$13:$L$13</c:f>
              <c:strCache>
                <c:ptCount val="3"/>
                <c:pt idx="0">
                  <c:v>Prototype 6
(Height 35 feet)</c:v>
                </c:pt>
                <c:pt idx="1">
                  <c:v>9 - 35 feet</c:v>
                </c:pt>
                <c:pt idx="2">
                  <c:v>Prototype 8
(Height 45 feet)</c:v>
                </c:pt>
              </c:strCache>
            </c:strRef>
          </c:cat>
          <c:val>
            <c:numRef>
              <c:f>'Pro Forma UG Parking'!$I$62:$L$62</c:f>
              <c:numCache>
                <c:formatCode>0.00%</c:formatCode>
                <c:ptCount val="3"/>
                <c:pt idx="0">
                  <c:v>5.5E-2</c:v>
                </c:pt>
                <c:pt idx="1">
                  <c:v>5.5E-2</c:v>
                </c:pt>
                <c:pt idx="2">
                  <c:v>5.5E-2</c:v>
                </c:pt>
              </c:numCache>
            </c:numRef>
          </c:val>
          <c:smooth val="0"/>
          <c:extLst xmlns:c16r2="http://schemas.microsoft.com/office/drawing/2015/06/chart">
            <c:ext xmlns:c16="http://schemas.microsoft.com/office/drawing/2014/chart" uri="{C3380CC4-5D6E-409C-BE32-E72D297353CC}">
              <c16:uniqueId val="{00000007-0D6A-4616-B0B8-F3B262C6EBF6}"/>
            </c:ext>
          </c:extLst>
        </c:ser>
        <c:dLbls>
          <c:showLegendKey val="0"/>
          <c:showVal val="1"/>
          <c:showCatName val="0"/>
          <c:showSerName val="0"/>
          <c:showPercent val="0"/>
          <c:showBubbleSize val="0"/>
        </c:dLbls>
        <c:marker val="1"/>
        <c:smooth val="0"/>
        <c:axId val="347833896"/>
        <c:axId val="347834288"/>
      </c:lineChart>
      <c:catAx>
        <c:axId val="347833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Franklin Gothic Book" panose="020B0503020102020204" pitchFamily="34" charset="0"/>
                <a:ea typeface="+mn-ea"/>
                <a:cs typeface="+mn-cs"/>
              </a:defRPr>
            </a:pPr>
            <a:endParaRPr lang="en-US"/>
          </a:p>
        </c:txPr>
        <c:crossAx val="347834288"/>
        <c:crosses val="autoZero"/>
        <c:auto val="1"/>
        <c:lblAlgn val="ctr"/>
        <c:lblOffset val="100"/>
        <c:noMultiLvlLbl val="0"/>
      </c:catAx>
      <c:valAx>
        <c:axId val="347834288"/>
        <c:scaling>
          <c:orientation val="minMax"/>
          <c:max val="6.5000000000000016E-2"/>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Franklin Gothic Book" panose="020B0503020102020204" pitchFamily="34" charset="0"/>
                <a:ea typeface="+mn-ea"/>
                <a:cs typeface="+mn-cs"/>
              </a:defRPr>
            </a:pPr>
            <a:endParaRPr lang="en-US"/>
          </a:p>
        </c:txPr>
        <c:crossAx val="347833896"/>
        <c:crosses val="autoZero"/>
        <c:crossBetween val="between"/>
      </c:valAx>
    </c:plotArea>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900">
          <a:latin typeface="Franklin Gothic Book" panose="020B0503020102020204" pitchFamily="34" charset="0"/>
        </a:defRPr>
      </a:pPr>
      <a:endParaRPr lang="en-US"/>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Underground Parking</c:v>
          </c:tx>
          <c:spPr>
            <a:solidFill>
              <a:schemeClr val="accent1"/>
            </a:solidFill>
            <a:ln>
              <a:noFill/>
            </a:ln>
            <a:effectLst/>
          </c:spPr>
          <c:invertIfNegative val="0"/>
          <c:cat>
            <c:strRef>
              <c:f>'Pro Forma UG Parking'!$D$68:$H$68</c:f>
              <c:strCache>
                <c:ptCount val="5"/>
                <c:pt idx="0">
                  <c:v>Prototype 1
(Max FAR)</c:v>
                </c:pt>
                <c:pt idx="1">
                  <c:v>Prototype 2
(Max Height and Required Parking) </c:v>
                </c:pt>
                <c:pt idx="2">
                  <c:v>Prototype 3
(Max Building Type)</c:v>
                </c:pt>
                <c:pt idx="3">
                  <c:v>Prototype 4
(Max Height and Required Parking)</c:v>
                </c:pt>
                <c:pt idx="4">
                  <c:v>Prototype 5
(Max Building Type)</c:v>
                </c:pt>
              </c:strCache>
            </c:strRef>
          </c:cat>
          <c:val>
            <c:numRef>
              <c:f>'Pro Forma UG Parking'!$D$73:$H$73</c:f>
              <c:numCache>
                <c:formatCode>"$"#,##0</c:formatCode>
                <c:ptCount val="5"/>
                <c:pt idx="0">
                  <c:v>504000</c:v>
                </c:pt>
                <c:pt idx="1">
                  <c:v>556000</c:v>
                </c:pt>
                <c:pt idx="2">
                  <c:v>488000</c:v>
                </c:pt>
                <c:pt idx="3">
                  <c:v>469000</c:v>
                </c:pt>
                <c:pt idx="4">
                  <c:v>433000</c:v>
                </c:pt>
              </c:numCache>
            </c:numRef>
          </c:val>
          <c:extLst xmlns:c16r2="http://schemas.microsoft.com/office/drawing/2015/06/chart">
            <c:ext xmlns:c16="http://schemas.microsoft.com/office/drawing/2014/chart" uri="{C3380CC4-5D6E-409C-BE32-E72D297353CC}">
              <c16:uniqueId val="{00000000-AB9E-2044-A65A-C9B2FA4A72D1}"/>
            </c:ext>
          </c:extLst>
        </c:ser>
        <c:ser>
          <c:idx val="1"/>
          <c:order val="1"/>
          <c:tx>
            <c:v>Above Ground Podium Parking</c:v>
          </c:tx>
          <c:spPr>
            <a:solidFill>
              <a:schemeClr val="accent2"/>
            </a:solidFill>
            <a:ln>
              <a:noFill/>
            </a:ln>
            <a:effectLst/>
          </c:spPr>
          <c:invertIfNegative val="0"/>
          <c:cat>
            <c:strRef>
              <c:f>'Pro Forma UG Parking'!$D$68:$H$68</c:f>
              <c:strCache>
                <c:ptCount val="5"/>
                <c:pt idx="0">
                  <c:v>Prototype 1
(Max FAR)</c:v>
                </c:pt>
                <c:pt idx="1">
                  <c:v>Prototype 2
(Max Height and Required Parking) </c:v>
                </c:pt>
                <c:pt idx="2">
                  <c:v>Prototype 3
(Max Building Type)</c:v>
                </c:pt>
                <c:pt idx="3">
                  <c:v>Prototype 4
(Max Height and Required Parking)</c:v>
                </c:pt>
                <c:pt idx="4">
                  <c:v>Prototype 5
(Max Building Type)</c:v>
                </c:pt>
              </c:strCache>
            </c:strRef>
          </c:cat>
          <c:val>
            <c:numRef>
              <c:f>'Pro Forma UG Parking'!$D$75:$H$75</c:f>
              <c:numCache>
                <c:formatCode>"$"#,##0</c:formatCode>
                <c:ptCount val="5"/>
                <c:pt idx="0">
                  <c:v>471000</c:v>
                </c:pt>
                <c:pt idx="1">
                  <c:v>496000</c:v>
                </c:pt>
                <c:pt idx="2">
                  <c:v>447000</c:v>
                </c:pt>
                <c:pt idx="3">
                  <c:v>418000</c:v>
                </c:pt>
                <c:pt idx="4">
                  <c:v>395000</c:v>
                </c:pt>
              </c:numCache>
            </c:numRef>
          </c:val>
          <c:extLst xmlns:c16r2="http://schemas.microsoft.com/office/drawing/2015/06/chart">
            <c:ext xmlns:c16="http://schemas.microsoft.com/office/drawing/2014/chart" uri="{C3380CC4-5D6E-409C-BE32-E72D297353CC}">
              <c16:uniqueId val="{00000001-AB9E-2044-A65A-C9B2FA4A72D1}"/>
            </c:ext>
          </c:extLst>
        </c:ser>
        <c:dLbls>
          <c:showLegendKey val="0"/>
          <c:showVal val="0"/>
          <c:showCatName val="0"/>
          <c:showSerName val="0"/>
          <c:showPercent val="0"/>
          <c:showBubbleSize val="0"/>
        </c:dLbls>
        <c:gapWidth val="219"/>
        <c:overlap val="-27"/>
        <c:axId val="347837424"/>
        <c:axId val="347838992"/>
      </c:barChart>
      <c:catAx>
        <c:axId val="34783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ranklin Gothic Book" panose="020B0503020102020204" pitchFamily="34" charset="0"/>
                <a:ea typeface="+mn-ea"/>
                <a:cs typeface="+mn-cs"/>
              </a:defRPr>
            </a:pPr>
            <a:endParaRPr lang="en-US"/>
          </a:p>
        </c:txPr>
        <c:crossAx val="347838992"/>
        <c:crosses val="autoZero"/>
        <c:auto val="1"/>
        <c:lblAlgn val="ctr"/>
        <c:lblOffset val="100"/>
        <c:noMultiLvlLbl val="0"/>
      </c:catAx>
      <c:valAx>
        <c:axId val="34783899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Franklin Gothic Book" panose="020B0503020102020204" pitchFamily="34" charset="0"/>
                <a:ea typeface="+mn-ea"/>
                <a:cs typeface="+mn-cs"/>
              </a:defRPr>
            </a:pPr>
            <a:endParaRPr lang="en-US"/>
          </a:p>
        </c:txPr>
        <c:crossAx val="347837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Franklin Gothic Book" panose="020B0503020102020204" pitchFamily="34" charset="0"/>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Franklin Gothic Book" panose="020B05030201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05861767279089"/>
          <c:y val="3.1285551763367461E-2"/>
          <c:w val="0.72294138232720906"/>
          <c:h val="0.85447000438938303"/>
        </c:manualLayout>
      </c:layout>
      <c:barChart>
        <c:barDir val="col"/>
        <c:grouping val="stacked"/>
        <c:varyColors val="0"/>
        <c:ser>
          <c:idx val="0"/>
          <c:order val="0"/>
          <c:tx>
            <c:strRef>
              <c:f>'4. Pro Forma'!$B$75</c:f>
              <c:strCache>
                <c:ptCount val="1"/>
                <c:pt idx="0">
                  <c:v>Land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Pro Forma'!$D$74:$I$74</c:f>
              <c:strCache>
                <c:ptCount val="1"/>
                <c:pt idx="0">
                  <c:v>Dynamic Prototype</c:v>
                </c:pt>
              </c:strCache>
            </c:strRef>
          </c:cat>
          <c:val>
            <c:numRef>
              <c:f>'4. Pro Forma'!$D$75:$I$75</c:f>
              <c:numCache>
                <c:formatCode>"$"#,##0</c:formatCode>
                <c:ptCount val="1"/>
                <c:pt idx="0">
                  <c:v>22000</c:v>
                </c:pt>
              </c:numCache>
            </c:numRef>
          </c:val>
          <c:extLst xmlns:c16r2="http://schemas.microsoft.com/office/drawing/2015/06/chart">
            <c:ext xmlns:c16="http://schemas.microsoft.com/office/drawing/2014/chart" uri="{C3380CC4-5D6E-409C-BE32-E72D297353CC}">
              <c16:uniqueId val="{00000001-5C1A-4D2C-82BE-C38A0CC78748}"/>
            </c:ext>
          </c:extLst>
        </c:ser>
        <c:ser>
          <c:idx val="1"/>
          <c:order val="1"/>
          <c:tx>
            <c:strRef>
              <c:f>'4. Pro Forma'!$B$76</c:f>
              <c:strCache>
                <c:ptCount val="1"/>
                <c:pt idx="0">
                  <c:v>Parking</c:v>
                </c:pt>
              </c:strCache>
            </c:strRef>
          </c:tx>
          <c:spPr>
            <a:solidFill>
              <a:schemeClr val="accent2"/>
            </a:solidFill>
            <a:ln>
              <a:noFill/>
            </a:ln>
            <a:effectLst/>
          </c:spPr>
          <c:invertIfNegative val="0"/>
          <c:dLbls>
            <c:dLbl>
              <c:idx val="0"/>
              <c:layout>
                <c:manualLayout>
                  <c:x val="1.0910761154855576E-2"/>
                  <c:y val="1.8813346568665267E-4"/>
                </c:manualLayout>
              </c:layout>
              <c:tx>
                <c:rich>
                  <a:bodyPr/>
                  <a:lstStyle/>
                  <a:p>
                    <a:fld id="{697FB171-7EC2-0340-BAF6-B3A10690C73C}" type="SERIESNAME">
                      <a:rPr lang="en-US"/>
                      <a:pPr/>
                      <a:t>[SERIES NAME]</a:t>
                    </a:fld>
                    <a:r>
                      <a:rPr lang="en-US" baseline="0"/>
                      <a:t> </a:t>
                    </a:r>
                    <a:fld id="{60DD2DA2-F099-0642-AD92-5F226FAA38B7}" type="VALUE">
                      <a:rPr lang="en-US" baseline="0"/>
                      <a:pPr/>
                      <a:t>[VALUE]</a:t>
                    </a:fld>
                    <a:endParaRPr lang="en-US" baseline="0"/>
                  </a:p>
                </c:rich>
              </c:tx>
              <c:dLblPos val="ctr"/>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02-5C1A-4D2C-82BE-C38A0CC78748}"/>
                </c:ext>
                <c:ext xmlns:c15="http://schemas.microsoft.com/office/drawing/2012/chart" uri="{CE6537A1-D6FC-4f65-9D91-7224C49458BB}">
                  <c15:layout>
                    <c:manualLayout>
                      <c:w val="0.49741586468358123"/>
                      <c:h val="4.530299833400344E-2"/>
                    </c:manualLayout>
                  </c15:layout>
                  <c15:dlblFieldTable/>
                  <c15:showDataLabelsRange val="0"/>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Pro Forma'!$D$74:$I$74</c:f>
              <c:strCache>
                <c:ptCount val="1"/>
                <c:pt idx="0">
                  <c:v>Dynamic Prototype</c:v>
                </c:pt>
              </c:strCache>
            </c:strRef>
          </c:cat>
          <c:val>
            <c:numRef>
              <c:f>'4. Pro Forma'!$D$76:$I$76</c:f>
              <c:numCache>
                <c:formatCode>"$"#,##0</c:formatCode>
                <c:ptCount val="1"/>
                <c:pt idx="0">
                  <c:v>20000</c:v>
                </c:pt>
              </c:numCache>
            </c:numRef>
          </c:val>
          <c:extLst xmlns:c16r2="http://schemas.microsoft.com/office/drawing/2015/06/chart">
            <c:ext xmlns:c16="http://schemas.microsoft.com/office/drawing/2014/chart" uri="{C3380CC4-5D6E-409C-BE32-E72D297353CC}">
              <c16:uniqueId val="{00000003-5C1A-4D2C-82BE-C38A0CC78748}"/>
            </c:ext>
          </c:extLst>
        </c:ser>
        <c:ser>
          <c:idx val="2"/>
          <c:order val="2"/>
          <c:tx>
            <c:strRef>
              <c:f>'4. Pro Forma'!$B$77</c:f>
              <c:strCache>
                <c:ptCount val="1"/>
                <c:pt idx="0">
                  <c:v>Building Costs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Pro Forma'!$D$74:$I$74</c:f>
              <c:strCache>
                <c:ptCount val="1"/>
                <c:pt idx="0">
                  <c:v>Dynamic Prototype</c:v>
                </c:pt>
              </c:strCache>
            </c:strRef>
          </c:cat>
          <c:val>
            <c:numRef>
              <c:f>'4. Pro Forma'!$D$77:$I$77</c:f>
              <c:numCache>
                <c:formatCode>"$"#,##0</c:formatCode>
                <c:ptCount val="1"/>
                <c:pt idx="0">
                  <c:v>211000</c:v>
                </c:pt>
              </c:numCache>
            </c:numRef>
          </c:val>
          <c:extLst xmlns:c16r2="http://schemas.microsoft.com/office/drawing/2015/06/chart">
            <c:ext xmlns:c16="http://schemas.microsoft.com/office/drawing/2014/chart" uri="{C3380CC4-5D6E-409C-BE32-E72D297353CC}">
              <c16:uniqueId val="{00000005-5C1A-4D2C-82BE-C38A0CC78748}"/>
            </c:ext>
          </c:extLst>
        </c:ser>
        <c:ser>
          <c:idx val="3"/>
          <c:order val="3"/>
          <c:tx>
            <c:strRef>
              <c:f>'4. Pro Forma'!$B$78</c:f>
              <c:strCache>
                <c:ptCount val="1"/>
                <c:pt idx="0">
                  <c:v>Soft Costs</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Pro Forma'!$D$74:$I$74</c:f>
              <c:strCache>
                <c:ptCount val="1"/>
                <c:pt idx="0">
                  <c:v>Dynamic Prototype</c:v>
                </c:pt>
              </c:strCache>
            </c:strRef>
          </c:cat>
          <c:val>
            <c:numRef>
              <c:f>'4. Pro Forma'!$D$78:$I$78</c:f>
              <c:numCache>
                <c:formatCode>"$"#,##0</c:formatCode>
                <c:ptCount val="1"/>
                <c:pt idx="0">
                  <c:v>89000</c:v>
                </c:pt>
              </c:numCache>
            </c:numRef>
          </c:val>
          <c:extLst xmlns:c16r2="http://schemas.microsoft.com/office/drawing/2015/06/chart">
            <c:ext xmlns:c16="http://schemas.microsoft.com/office/drawing/2014/chart" uri="{C3380CC4-5D6E-409C-BE32-E72D297353CC}">
              <c16:uniqueId val="{00000006-5C1A-4D2C-82BE-C38A0CC78748}"/>
            </c:ext>
          </c:extLst>
        </c:ser>
        <c:dLbls>
          <c:showLegendKey val="0"/>
          <c:showVal val="0"/>
          <c:showCatName val="0"/>
          <c:showSerName val="0"/>
          <c:showPercent val="0"/>
          <c:showBubbleSize val="0"/>
        </c:dLbls>
        <c:gapWidth val="100"/>
        <c:overlap val="100"/>
        <c:axId val="139263392"/>
        <c:axId val="139264960"/>
      </c:barChart>
      <c:catAx>
        <c:axId val="139263392"/>
        <c:scaling>
          <c:orientation val="minMax"/>
        </c:scaling>
        <c:delete val="1"/>
        <c:axPos val="b"/>
        <c:numFmt formatCode="General" sourceLinked="1"/>
        <c:majorTickMark val="out"/>
        <c:minorTickMark val="none"/>
        <c:tickLblPos val="nextTo"/>
        <c:crossAx val="139264960"/>
        <c:crosses val="autoZero"/>
        <c:auto val="1"/>
        <c:lblAlgn val="ctr"/>
        <c:lblOffset val="100"/>
        <c:noMultiLvlLbl val="0"/>
      </c:catAx>
      <c:valAx>
        <c:axId val="1392649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Dollars</a:t>
                </a:r>
              </a:p>
            </c:rich>
          </c:tx>
          <c:layout>
            <c:manualLayout>
              <c:xMode val="edge"/>
              <c:yMode val="edge"/>
              <c:x val="1.8518518518518519E-3"/>
              <c:y val="0.370020849223990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2633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85272669528123E-2"/>
          <c:y val="9.9981776701974223E-2"/>
          <c:w val="0.91837728625584503"/>
          <c:h val="0.78858932748837074"/>
        </c:manualLayout>
      </c:layout>
      <c:barChart>
        <c:barDir val="col"/>
        <c:grouping val="clustered"/>
        <c:varyColors val="0"/>
        <c:ser>
          <c:idx val="3"/>
          <c:order val="1"/>
          <c:tx>
            <c:strRef>
              <c:f>'Pro Forma'!$B$61</c:f>
              <c:strCache>
                <c:ptCount val="1"/>
                <c:pt idx="0">
                  <c:v>Project Yield-on-cost</c:v>
                </c:pt>
              </c:strCache>
            </c:strRef>
          </c:tx>
          <c:spPr>
            <a:solidFill>
              <a:schemeClr val="accent4"/>
            </a:solidFill>
            <a:ln>
              <a:noFill/>
            </a:ln>
            <a:effectLst/>
          </c:spPr>
          <c:invertIfNegative val="0"/>
          <c:dPt>
            <c:idx val="3"/>
            <c:invertIfNegative val="0"/>
            <c:bubble3D val="0"/>
            <c:spPr>
              <a:solidFill>
                <a:schemeClr val="accent3">
                  <a:lumMod val="60000"/>
                  <a:lumOff val="40000"/>
                </a:schemeClr>
              </a:solidFill>
              <a:ln>
                <a:noFill/>
              </a:ln>
              <a:effectLst/>
            </c:spPr>
            <c:extLst xmlns:c16r2="http://schemas.microsoft.com/office/drawing/2015/06/chart">
              <c:ext xmlns:c16="http://schemas.microsoft.com/office/drawing/2014/chart" uri="{C3380CC4-5D6E-409C-BE32-E72D297353CC}">
                <c16:uniqueId val="{00000001-04E7-A640-91B5-139C6CF2520B}"/>
              </c:ext>
            </c:extLst>
          </c:dPt>
          <c:dPt>
            <c:idx val="4"/>
            <c:invertIfNegative val="0"/>
            <c:bubble3D val="0"/>
            <c:spPr>
              <a:solidFill>
                <a:schemeClr val="accent3">
                  <a:lumMod val="60000"/>
                  <a:lumOff val="40000"/>
                </a:schemeClr>
              </a:solidFill>
              <a:ln>
                <a:noFill/>
              </a:ln>
              <a:effectLst/>
            </c:spPr>
            <c:extLst xmlns:c16r2="http://schemas.microsoft.com/office/drawing/2015/06/chart">
              <c:ext xmlns:c16="http://schemas.microsoft.com/office/drawing/2014/chart" uri="{C3380CC4-5D6E-409C-BE32-E72D297353CC}">
                <c16:uniqueId val="{00000013-257A-4F8B-9F72-D52B6D7E4D25}"/>
              </c:ext>
            </c:extLst>
          </c:dPt>
          <c:dLbls>
            <c:dLbl>
              <c:idx val="2"/>
              <c:layout>
                <c:manualLayout>
                  <c:x val="-1.03719978998565E-3"/>
                  <c:y val="-3.606565722299674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02C5-483B-B9AC-6F258EBEDA81}"/>
                </c:ext>
                <c:ext xmlns:c15="http://schemas.microsoft.com/office/drawing/2012/chart" uri="{CE6537A1-D6FC-4f65-9D91-7224C49458BB}"/>
              </c:extLst>
            </c:dLbl>
            <c:dLbl>
              <c:idx val="3"/>
              <c:layout>
                <c:manualLayout>
                  <c:x val="-1.1120673138724935E-3"/>
                  <c:y val="5.043668165626553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4E7-A640-91B5-139C6CF2520B}"/>
                </c:ex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000"/>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'Pro Forma'!$D$13:$N$13</c:f>
              <c:strCache>
                <c:ptCount val="8"/>
                <c:pt idx="0">
                  <c:v>Prototype 1
(Max FAR)</c:v>
                </c:pt>
                <c:pt idx="1">
                  <c:v>Prototype 2
(Max Height and Required Parking) </c:v>
                </c:pt>
                <c:pt idx="2">
                  <c:v>Prototype 3
(Max Building Type)</c:v>
                </c:pt>
                <c:pt idx="3">
                  <c:v>Prototype 4
(Max Height and Required Parking)</c:v>
                </c:pt>
                <c:pt idx="4">
                  <c:v>Prototype 5
(Max Building Type)</c:v>
                </c:pt>
                <c:pt idx="5">
                  <c:v>Prototype 6
(MU, Height 35 feet)</c:v>
                </c:pt>
                <c:pt idx="6">
                  <c:v>Prototype 7
(MU, Height 45 feet)</c:v>
                </c:pt>
                <c:pt idx="7">
                  <c:v>Prototype 8
(MU, Height 55 feet)</c:v>
                </c:pt>
              </c:strCache>
            </c:strRef>
          </c:cat>
          <c:val>
            <c:numRef>
              <c:f>'Pro Forma'!$D$61:$I$61</c:f>
              <c:numCache>
                <c:formatCode>0.00%</c:formatCode>
                <c:ptCount val="5"/>
                <c:pt idx="0">
                  <c:v>3.7923023101812108E-2</c:v>
                </c:pt>
                <c:pt idx="1">
                  <c:v>3.6040681367133676E-2</c:v>
                </c:pt>
                <c:pt idx="2">
                  <c:v>4.0030668185176657E-2</c:v>
                </c:pt>
                <c:pt idx="3">
                  <c:v>4.2788770797717549E-2</c:v>
                </c:pt>
                <c:pt idx="4">
                  <c:v>4.5161093196018381E-2</c:v>
                </c:pt>
              </c:numCache>
            </c:numRef>
          </c:val>
          <c:extLst xmlns:c16r2="http://schemas.microsoft.com/office/drawing/2015/06/chart">
            <c:ext xmlns:c16="http://schemas.microsoft.com/office/drawing/2014/chart" uri="{C3380CC4-5D6E-409C-BE32-E72D297353CC}">
              <c16:uniqueId val="{00000008-257A-4F8B-9F72-D52B6D7E4D25}"/>
            </c:ext>
          </c:extLst>
        </c:ser>
        <c:dLbls>
          <c:showLegendKey val="0"/>
          <c:showVal val="0"/>
          <c:showCatName val="0"/>
          <c:showSerName val="0"/>
          <c:showPercent val="0"/>
          <c:showBubbleSize val="0"/>
        </c:dLbls>
        <c:gapWidth val="75"/>
        <c:axId val="139264568"/>
        <c:axId val="347143416"/>
      </c:barChart>
      <c:lineChart>
        <c:grouping val="standard"/>
        <c:varyColors val="0"/>
        <c:ser>
          <c:idx val="0"/>
          <c:order val="0"/>
          <c:tx>
            <c:strRef>
              <c:f>'Pro Forma'!$B$62</c:f>
              <c:strCache>
                <c:ptCount val="1"/>
                <c:pt idx="0">
                  <c:v>Minimum Yield-on-cost Feasibility</c:v>
                </c:pt>
              </c:strCache>
            </c:strRef>
          </c:tx>
          <c:spPr>
            <a:ln w="41275" cap="flat">
              <a:solidFill>
                <a:schemeClr val="tx1"/>
              </a:solidFill>
              <a:prstDash val="sysDash"/>
            </a:ln>
          </c:spPr>
          <c:marker>
            <c:symbol val="none"/>
          </c:marker>
          <c:dLbls>
            <c:delete val="1"/>
          </c:dLbls>
          <c:cat>
            <c:strRef>
              <c:f>'Pro Forma'!$D$13:$I$13</c:f>
              <c:strCache>
                <c:ptCount val="5"/>
                <c:pt idx="0">
                  <c:v>Prototype 1
(Max FAR)</c:v>
                </c:pt>
                <c:pt idx="1">
                  <c:v>Prototype 2
(Max Height and Required Parking) </c:v>
                </c:pt>
                <c:pt idx="2">
                  <c:v>Prototype 3
(Max Building Type)</c:v>
                </c:pt>
                <c:pt idx="3">
                  <c:v>Prototype 4
(Max Height and Required Parking)</c:v>
                </c:pt>
                <c:pt idx="4">
                  <c:v>Prototype 5
(Max Building Type)</c:v>
                </c:pt>
              </c:strCache>
            </c:strRef>
          </c:cat>
          <c:val>
            <c:numRef>
              <c:f>'Pro Forma'!$D$62:$I$62</c:f>
              <c:numCache>
                <c:formatCode>0.00%</c:formatCode>
                <c:ptCount val="5"/>
                <c:pt idx="0">
                  <c:v>5.5E-2</c:v>
                </c:pt>
                <c:pt idx="1">
                  <c:v>5.5E-2</c:v>
                </c:pt>
                <c:pt idx="2">
                  <c:v>5.5E-2</c:v>
                </c:pt>
                <c:pt idx="3">
                  <c:v>5.5E-2</c:v>
                </c:pt>
                <c:pt idx="4">
                  <c:v>5.5E-2</c:v>
                </c:pt>
              </c:numCache>
            </c:numRef>
          </c:val>
          <c:smooth val="0"/>
          <c:extLst xmlns:c16r2="http://schemas.microsoft.com/office/drawing/2015/06/chart">
            <c:ext xmlns:c16="http://schemas.microsoft.com/office/drawing/2014/chart" uri="{C3380CC4-5D6E-409C-BE32-E72D297353CC}">
              <c16:uniqueId val="{00000009-257A-4F8B-9F72-D52B6D7E4D25}"/>
            </c:ext>
          </c:extLst>
        </c:ser>
        <c:dLbls>
          <c:showLegendKey val="0"/>
          <c:showVal val="1"/>
          <c:showCatName val="0"/>
          <c:showSerName val="0"/>
          <c:showPercent val="0"/>
          <c:showBubbleSize val="0"/>
        </c:dLbls>
        <c:marker val="1"/>
        <c:smooth val="0"/>
        <c:axId val="139264568"/>
        <c:axId val="347143416"/>
      </c:lineChart>
      <c:catAx>
        <c:axId val="139264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Franklin Gothic Book" panose="020B0503020102020204" pitchFamily="34" charset="0"/>
                <a:ea typeface="+mn-ea"/>
                <a:cs typeface="+mn-cs"/>
              </a:defRPr>
            </a:pPr>
            <a:endParaRPr lang="en-US"/>
          </a:p>
        </c:txPr>
        <c:crossAx val="347143416"/>
        <c:crosses val="autoZero"/>
        <c:auto val="1"/>
        <c:lblAlgn val="ctr"/>
        <c:lblOffset val="100"/>
        <c:noMultiLvlLbl val="0"/>
      </c:catAx>
      <c:valAx>
        <c:axId val="347143416"/>
        <c:scaling>
          <c:orientation val="minMax"/>
          <c:max val="6.5000000000000016E-2"/>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Franklin Gothic Book" panose="020B0503020102020204" pitchFamily="34" charset="0"/>
                <a:ea typeface="+mn-ea"/>
                <a:cs typeface="+mn-cs"/>
              </a:defRPr>
            </a:pPr>
            <a:endParaRPr lang="en-US"/>
          </a:p>
        </c:txPr>
        <c:crossAx val="139264568"/>
        <c:crosses val="autoZero"/>
        <c:crossBetween val="between"/>
      </c:valAx>
    </c:plotArea>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900">
          <a:latin typeface="Franklin Gothic Book" panose="020B0503020102020204" pitchFamily="34" charset="0"/>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229991232375736E-2"/>
          <c:y val="0.10257551830008813"/>
          <c:w val="0.86324428663516017"/>
          <c:h val="0.79077242170985784"/>
        </c:manualLayout>
      </c:layout>
      <c:barChart>
        <c:barDir val="col"/>
        <c:grouping val="clustered"/>
        <c:varyColors val="0"/>
        <c:ser>
          <c:idx val="3"/>
          <c:order val="1"/>
          <c:tx>
            <c:strRef>
              <c:f>'Pro Forma'!$B$61</c:f>
              <c:strCache>
                <c:ptCount val="1"/>
                <c:pt idx="0">
                  <c:v>Project Yield-on-cost</c:v>
                </c:pt>
              </c:strCache>
            </c:strRef>
          </c:tx>
          <c:spPr>
            <a:solidFill>
              <a:schemeClr val="accent4"/>
            </a:solidFill>
            <a:ln>
              <a:noFill/>
            </a:ln>
            <a:effectLst/>
          </c:spPr>
          <c:invertIfNegative val="0"/>
          <c:dPt>
            <c:idx val="0"/>
            <c:invertIfNegative val="0"/>
            <c:bubble3D val="0"/>
            <c:spPr>
              <a:solidFill>
                <a:schemeClr val="accent5">
                  <a:lumMod val="60000"/>
                  <a:lumOff val="40000"/>
                </a:schemeClr>
              </a:solidFill>
              <a:ln>
                <a:noFill/>
              </a:ln>
              <a:effectLst/>
            </c:spPr>
            <c:extLst xmlns:c16r2="http://schemas.microsoft.com/office/drawing/2015/06/chart">
              <c:ext xmlns:c16="http://schemas.microsoft.com/office/drawing/2014/chart" uri="{C3380CC4-5D6E-409C-BE32-E72D297353CC}">
                <c16:uniqueId val="{00000001-186E-44E9-A977-28EC548FC009}"/>
              </c:ext>
            </c:extLst>
          </c:dPt>
          <c:dPt>
            <c:idx val="1"/>
            <c:invertIfNegative val="0"/>
            <c:bubble3D val="0"/>
            <c:spPr>
              <a:solidFill>
                <a:schemeClr val="accent5">
                  <a:lumMod val="60000"/>
                  <a:lumOff val="40000"/>
                </a:schemeClr>
              </a:solidFill>
              <a:ln>
                <a:noFill/>
              </a:ln>
              <a:effectLst/>
            </c:spPr>
            <c:extLst xmlns:c16r2="http://schemas.microsoft.com/office/drawing/2015/06/chart">
              <c:ext xmlns:c16="http://schemas.microsoft.com/office/drawing/2014/chart" uri="{C3380CC4-5D6E-409C-BE32-E72D297353CC}">
                <c16:uniqueId val="{00000003-186E-44E9-A977-28EC548FC009}"/>
              </c:ext>
            </c:extLst>
          </c:dPt>
          <c:dPt>
            <c:idx val="2"/>
            <c:invertIfNegative val="0"/>
            <c:bubble3D val="0"/>
            <c:spPr>
              <a:solidFill>
                <a:schemeClr val="accent5">
                  <a:lumMod val="60000"/>
                  <a:lumOff val="40000"/>
                </a:schemeClr>
              </a:solidFill>
              <a:ln>
                <a:noFill/>
              </a:ln>
              <a:effectLst/>
            </c:spPr>
            <c:extLst xmlns:c16r2="http://schemas.microsoft.com/office/drawing/2015/06/chart">
              <c:ext xmlns:c16="http://schemas.microsoft.com/office/drawing/2014/chart" uri="{C3380CC4-5D6E-409C-BE32-E72D297353CC}">
                <c16:uniqueId val="{00000005-5D85-4584-8691-775C4D44D490}"/>
              </c:ext>
            </c:extLst>
          </c:dPt>
          <c:dPt>
            <c:idx val="3"/>
            <c:invertIfNegative val="0"/>
            <c:bubble3D val="0"/>
            <c:spPr>
              <a:solidFill>
                <a:srgbClr val="F3895F"/>
              </a:solidFill>
              <a:ln>
                <a:noFill/>
              </a:ln>
              <a:effectLst/>
            </c:spPr>
            <c:extLst xmlns:c16r2="http://schemas.microsoft.com/office/drawing/2015/06/chart">
              <c:ext xmlns:c16="http://schemas.microsoft.com/office/drawing/2014/chart" uri="{C3380CC4-5D6E-409C-BE32-E72D297353CC}">
                <c16:uniqueId val="{00000007-E992-4A76-8012-D374C9399431}"/>
              </c:ext>
            </c:extLst>
          </c:dPt>
          <c:dLbls>
            <c:dLbl>
              <c:idx val="2"/>
              <c:layout>
                <c:manualLayout>
                  <c:x val="-3.4345686722624595E-3"/>
                  <c:y val="4.297353301734289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5D85-4584-8691-775C4D44D490}"/>
                </c:ext>
                <c:ext xmlns:c15="http://schemas.microsoft.com/office/drawing/2012/chart" uri="{CE6537A1-D6FC-4f65-9D91-7224C49458BB}"/>
              </c:extLst>
            </c:dLbl>
            <c:dLbl>
              <c:idx val="3"/>
              <c:layout>
                <c:manualLayout>
                  <c:x val="1.3321124051132139E-3"/>
                  <c:y val="4.410722292241956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E992-4A76-8012-D374C9399431}"/>
                </c:ex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000"/>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'Pro Forma'!$E$13:$N$13</c:f>
              <c:strCache>
                <c:ptCount val="8"/>
                <c:pt idx="0">
                  <c:v>Prototype 1
(Max FAR)</c:v>
                </c:pt>
                <c:pt idx="1">
                  <c:v>Prototype 2
(Max Height and Required Parking) </c:v>
                </c:pt>
                <c:pt idx="2">
                  <c:v>Prototype 3
(Max Building Type)</c:v>
                </c:pt>
                <c:pt idx="3">
                  <c:v>Prototype 4
(Max Height and Required Parking)</c:v>
                </c:pt>
                <c:pt idx="4">
                  <c:v>Prototype 5
(Max Building Type)</c:v>
                </c:pt>
                <c:pt idx="5">
                  <c:v>Prototype 6
(MU, Height 35 feet)</c:v>
                </c:pt>
                <c:pt idx="6">
                  <c:v>Prototype 7
(MU, Height 45 feet)</c:v>
                </c:pt>
                <c:pt idx="7">
                  <c:v>Prototype 8
(MU, Height 55 feet)</c:v>
                </c:pt>
              </c:strCache>
            </c:strRef>
          </c:cat>
          <c:val>
            <c:numRef>
              <c:f>'Pro Forma'!$J$61:$P$61</c:f>
              <c:numCache>
                <c:formatCode>0.00%</c:formatCode>
                <c:ptCount val="4"/>
                <c:pt idx="0">
                  <c:v>3.3641751804670543E-2</c:v>
                </c:pt>
                <c:pt idx="1">
                  <c:v>3.9607245749127731E-2</c:v>
                </c:pt>
                <c:pt idx="2">
                  <c:v>4.3239145185444014E-2</c:v>
                </c:pt>
                <c:pt idx="3">
                  <c:v>4.2218015312552301E-2</c:v>
                </c:pt>
              </c:numCache>
            </c:numRef>
          </c:val>
          <c:extLst xmlns:c16r2="http://schemas.microsoft.com/office/drawing/2015/06/chart">
            <c:ext xmlns:c16="http://schemas.microsoft.com/office/drawing/2014/chart" uri="{C3380CC4-5D6E-409C-BE32-E72D297353CC}">
              <c16:uniqueId val="{0000000B-4003-45E4-AE42-8FD0632AE5A6}"/>
            </c:ext>
          </c:extLst>
        </c:ser>
        <c:dLbls>
          <c:showLegendKey val="0"/>
          <c:showVal val="0"/>
          <c:showCatName val="0"/>
          <c:showSerName val="0"/>
          <c:showPercent val="0"/>
          <c:showBubbleSize val="0"/>
        </c:dLbls>
        <c:gapWidth val="75"/>
        <c:axId val="347140280"/>
        <c:axId val="347140672"/>
      </c:barChart>
      <c:lineChart>
        <c:grouping val="standard"/>
        <c:varyColors val="0"/>
        <c:ser>
          <c:idx val="0"/>
          <c:order val="0"/>
          <c:tx>
            <c:strRef>
              <c:f>'Pro Forma'!$B$62</c:f>
              <c:strCache>
                <c:ptCount val="1"/>
                <c:pt idx="0">
                  <c:v>Minimum Yield-on-cost Feasibility</c:v>
                </c:pt>
              </c:strCache>
            </c:strRef>
          </c:tx>
          <c:spPr>
            <a:ln w="41275" cap="flat">
              <a:solidFill>
                <a:schemeClr val="tx1"/>
              </a:solidFill>
              <a:prstDash val="sysDash"/>
            </a:ln>
          </c:spPr>
          <c:marker>
            <c:symbol val="none"/>
          </c:marker>
          <c:dLbls>
            <c:delete val="1"/>
          </c:dLbls>
          <c:cat>
            <c:strRef>
              <c:f>'Pro Forma'!$J$13:$P$13</c:f>
              <c:strCache>
                <c:ptCount val="4"/>
                <c:pt idx="0">
                  <c:v>Prototype 6
(MU, Height 35 feet)</c:v>
                </c:pt>
                <c:pt idx="1">
                  <c:v>Prototype 7
(MU, Height 45 feet)</c:v>
                </c:pt>
                <c:pt idx="2">
                  <c:v>Prototype 8
(MU, Height 55 feet)</c:v>
                </c:pt>
                <c:pt idx="3">
                  <c:v>Prototype 9
(Res only, Height 45 feet)</c:v>
                </c:pt>
              </c:strCache>
            </c:strRef>
          </c:cat>
          <c:val>
            <c:numRef>
              <c:f>'Pro Forma'!$J$62:$P$62</c:f>
              <c:numCache>
                <c:formatCode>0.00%</c:formatCode>
                <c:ptCount val="4"/>
                <c:pt idx="0">
                  <c:v>5.5E-2</c:v>
                </c:pt>
                <c:pt idx="1">
                  <c:v>5.5E-2</c:v>
                </c:pt>
                <c:pt idx="2">
                  <c:v>5.5E-2</c:v>
                </c:pt>
                <c:pt idx="3">
                  <c:v>5.5E-2</c:v>
                </c:pt>
              </c:numCache>
            </c:numRef>
          </c:val>
          <c:smooth val="0"/>
          <c:extLst xmlns:c16r2="http://schemas.microsoft.com/office/drawing/2015/06/chart">
            <c:ext xmlns:c16="http://schemas.microsoft.com/office/drawing/2014/chart" uri="{C3380CC4-5D6E-409C-BE32-E72D297353CC}">
              <c16:uniqueId val="{0000000C-4003-45E4-AE42-8FD0632AE5A6}"/>
            </c:ext>
          </c:extLst>
        </c:ser>
        <c:dLbls>
          <c:showLegendKey val="0"/>
          <c:showVal val="1"/>
          <c:showCatName val="0"/>
          <c:showSerName val="0"/>
          <c:showPercent val="0"/>
          <c:showBubbleSize val="0"/>
        </c:dLbls>
        <c:marker val="1"/>
        <c:smooth val="0"/>
        <c:axId val="347140280"/>
        <c:axId val="347140672"/>
      </c:lineChart>
      <c:catAx>
        <c:axId val="347140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Franklin Gothic Book" panose="020B0503020102020204" pitchFamily="34" charset="0"/>
                <a:ea typeface="+mn-ea"/>
                <a:cs typeface="+mn-cs"/>
              </a:defRPr>
            </a:pPr>
            <a:endParaRPr lang="en-US"/>
          </a:p>
        </c:txPr>
        <c:crossAx val="347140672"/>
        <c:crosses val="autoZero"/>
        <c:auto val="1"/>
        <c:lblAlgn val="ctr"/>
        <c:lblOffset val="100"/>
        <c:noMultiLvlLbl val="0"/>
      </c:catAx>
      <c:valAx>
        <c:axId val="347140672"/>
        <c:scaling>
          <c:orientation val="minMax"/>
          <c:max val="6.5000000000000016E-2"/>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Franklin Gothic Book" panose="020B0503020102020204" pitchFamily="34" charset="0"/>
                <a:ea typeface="+mn-ea"/>
                <a:cs typeface="+mn-cs"/>
              </a:defRPr>
            </a:pPr>
            <a:endParaRPr lang="en-US"/>
          </a:p>
        </c:txPr>
        <c:crossAx val="347140280"/>
        <c:crosses val="autoZero"/>
        <c:crossBetween val="between"/>
      </c:valAx>
    </c:plotArea>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900">
          <a:latin typeface="Franklin Gothic Book" panose="020B0503020102020204" pitchFamily="34" charset="0"/>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1426873826949E-2"/>
          <c:y val="3.1285551763367461E-2"/>
          <c:w val="0.89242917272858524"/>
          <c:h val="0.85447000438938303"/>
        </c:manualLayout>
      </c:layout>
      <c:barChart>
        <c:barDir val="col"/>
        <c:grouping val="stacked"/>
        <c:varyColors val="0"/>
        <c:ser>
          <c:idx val="0"/>
          <c:order val="0"/>
          <c:tx>
            <c:strRef>
              <c:f>'Pro Forma'!$B$69</c:f>
              <c:strCache>
                <c:ptCount val="1"/>
                <c:pt idx="0">
                  <c:v>Land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 Forma'!$D$68:$I$68</c:f>
              <c:strCache>
                <c:ptCount val="5"/>
                <c:pt idx="0">
                  <c:v>Prototype 1
(Max FAR)</c:v>
                </c:pt>
                <c:pt idx="1">
                  <c:v>Prototype 2
(Max Height + Req Pkg) </c:v>
                </c:pt>
                <c:pt idx="2">
                  <c:v>Prototype 3 
(Max Bldg Type)</c:v>
                </c:pt>
                <c:pt idx="3">
                  <c:v>Prototype 4
(Max Height + Req Pkg)</c:v>
                </c:pt>
                <c:pt idx="4">
                  <c:v>Prototype 5
(Max Building Type)</c:v>
                </c:pt>
              </c:strCache>
            </c:strRef>
          </c:cat>
          <c:val>
            <c:numRef>
              <c:f>'Pro Forma'!$D$69:$I$69</c:f>
              <c:numCache>
                <c:formatCode>"$"#,##0</c:formatCode>
                <c:ptCount val="5"/>
                <c:pt idx="0">
                  <c:v>42000</c:v>
                </c:pt>
                <c:pt idx="1">
                  <c:v>40000</c:v>
                </c:pt>
                <c:pt idx="2">
                  <c:v>29000</c:v>
                </c:pt>
                <c:pt idx="3">
                  <c:v>34000</c:v>
                </c:pt>
                <c:pt idx="4">
                  <c:v>25000</c:v>
                </c:pt>
              </c:numCache>
            </c:numRef>
          </c:val>
          <c:extLst xmlns:c16r2="http://schemas.microsoft.com/office/drawing/2015/06/chart">
            <c:ext xmlns:c16="http://schemas.microsoft.com/office/drawing/2014/chart" uri="{C3380CC4-5D6E-409C-BE32-E72D297353CC}">
              <c16:uniqueId val="{00000000-C27F-D34D-AEEB-545A06183610}"/>
            </c:ext>
          </c:extLst>
        </c:ser>
        <c:ser>
          <c:idx val="1"/>
          <c:order val="1"/>
          <c:tx>
            <c:strRef>
              <c:f>'Pro Forma'!$B$70</c:f>
              <c:strCache>
                <c:ptCount val="1"/>
                <c:pt idx="0">
                  <c:v>Parking</c:v>
                </c:pt>
              </c:strCache>
            </c:strRef>
          </c:tx>
          <c:spPr>
            <a:solidFill>
              <a:schemeClr val="accent2"/>
            </a:solidFill>
            <a:ln>
              <a:noFill/>
            </a:ln>
            <a:effectLst/>
          </c:spPr>
          <c:invertIfNegative val="0"/>
          <c:dLbls>
            <c:dLbl>
              <c:idx val="4"/>
              <c:layout>
                <c:manualLayout>
                  <c:x val="-1.2865519807203341E-2"/>
                  <c:y val="-1.4219585606406659E-3"/>
                </c:manualLayout>
              </c:layout>
              <c:tx>
                <c:rich>
                  <a:bodyPr/>
                  <a:lstStyle/>
                  <a:p>
                    <a:fld id="{697FB171-7EC2-0340-BAF6-B3A10690C73C}" type="SERIESNAME">
                      <a:rPr lang="en-US"/>
                      <a:pPr/>
                      <a:t>[SERIES NAME]</a:t>
                    </a:fld>
                    <a:r>
                      <a:rPr lang="en-US" baseline="0"/>
                      <a:t> </a:t>
                    </a:r>
                    <a:fld id="{60DD2DA2-F099-0642-AD92-5F226FAA38B7}" type="VALUE">
                      <a:rPr lang="en-US" baseline="0"/>
                      <a:pPr/>
                      <a:t>[VALUE]</a:t>
                    </a:fld>
                    <a:endParaRPr lang="en-US" baseline="0"/>
                  </a:p>
                </c:rich>
              </c:tx>
              <c:dLblPos val="ctr"/>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00-D197-479A-9B71-7AA0E5A25D11}"/>
                </c:ext>
                <c:ext xmlns:c15="http://schemas.microsoft.com/office/drawing/2012/chart" uri="{CE6537A1-D6FC-4f65-9D91-7224C49458BB}">
                  <c15:layout>
                    <c:manualLayout>
                      <c:w val="0.14462326332974249"/>
                      <c:h val="6.154721274175199E-2"/>
                    </c:manualLayout>
                  </c15:layout>
                  <c15:dlblFieldTable/>
                  <c15:showDataLabelsRange val="0"/>
                </c:ext>
              </c:extLst>
            </c:dLbl>
            <c:spPr>
              <a:noFill/>
              <a:ln>
                <a:noFill/>
              </a:ln>
              <a:effectLst/>
            </c:spPr>
            <c:txPr>
              <a:bodyPr rot="0" spcFirstLastPara="1" vertOverflow="ellipsis" vert="horz" wrap="square" anchor="ctr" anchorCtr="1"/>
              <a:lstStyle/>
              <a:p>
                <a:pPr>
                  <a:defRPr sz="105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 Forma'!$D$68:$I$68</c:f>
              <c:strCache>
                <c:ptCount val="5"/>
                <c:pt idx="0">
                  <c:v>Prototype 1
(Max FAR)</c:v>
                </c:pt>
                <c:pt idx="1">
                  <c:v>Prototype 2
(Max Height + Req Pkg) </c:v>
                </c:pt>
                <c:pt idx="2">
                  <c:v>Prototype 3 
(Max Bldg Type)</c:v>
                </c:pt>
                <c:pt idx="3">
                  <c:v>Prototype 4
(Max Height + Req Pkg)</c:v>
                </c:pt>
                <c:pt idx="4">
                  <c:v>Prototype 5
(Max Building Type)</c:v>
                </c:pt>
              </c:strCache>
            </c:strRef>
          </c:cat>
          <c:val>
            <c:numRef>
              <c:f>'Pro Forma'!$D$70:$I$70</c:f>
              <c:numCache>
                <c:formatCode>"$"#,##0</c:formatCode>
                <c:ptCount val="5"/>
                <c:pt idx="0">
                  <c:v>30000</c:v>
                </c:pt>
                <c:pt idx="1">
                  <c:v>53000</c:v>
                </c:pt>
                <c:pt idx="2">
                  <c:v>38000</c:v>
                </c:pt>
                <c:pt idx="3">
                  <c:v>46000</c:v>
                </c:pt>
                <c:pt idx="4">
                  <c:v>34000</c:v>
                </c:pt>
              </c:numCache>
            </c:numRef>
          </c:val>
          <c:extLst xmlns:c16r2="http://schemas.microsoft.com/office/drawing/2015/06/chart">
            <c:ext xmlns:c16="http://schemas.microsoft.com/office/drawing/2014/chart" uri="{C3380CC4-5D6E-409C-BE32-E72D297353CC}">
              <c16:uniqueId val="{00000001-C27F-D34D-AEEB-545A06183610}"/>
            </c:ext>
          </c:extLst>
        </c:ser>
        <c:ser>
          <c:idx val="2"/>
          <c:order val="2"/>
          <c:tx>
            <c:strRef>
              <c:f>'Pro Forma'!$B$71</c:f>
              <c:strCache>
                <c:ptCount val="1"/>
                <c:pt idx="0">
                  <c:v>Building Costs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 Forma'!$D$68:$I$68</c:f>
              <c:strCache>
                <c:ptCount val="5"/>
                <c:pt idx="0">
                  <c:v>Prototype 1
(Max FAR)</c:v>
                </c:pt>
                <c:pt idx="1">
                  <c:v>Prototype 2
(Max Height + Req Pkg) </c:v>
                </c:pt>
                <c:pt idx="2">
                  <c:v>Prototype 3 
(Max Bldg Type)</c:v>
                </c:pt>
                <c:pt idx="3">
                  <c:v>Prototype 4
(Max Height + Req Pkg)</c:v>
                </c:pt>
                <c:pt idx="4">
                  <c:v>Prototype 5
(Max Building Type)</c:v>
                </c:pt>
              </c:strCache>
            </c:strRef>
          </c:cat>
          <c:val>
            <c:numRef>
              <c:f>'Pro Forma'!$D$71:$I$71</c:f>
              <c:numCache>
                <c:formatCode>"$"#,##0</c:formatCode>
                <c:ptCount val="5"/>
                <c:pt idx="0">
                  <c:v>288000</c:v>
                </c:pt>
                <c:pt idx="1">
                  <c:v>287000</c:v>
                </c:pt>
                <c:pt idx="2">
                  <c:v>272000</c:v>
                </c:pt>
                <c:pt idx="3">
                  <c:v>236000</c:v>
                </c:pt>
                <c:pt idx="4">
                  <c:v>237000</c:v>
                </c:pt>
              </c:numCache>
            </c:numRef>
          </c:val>
          <c:extLst xmlns:c16r2="http://schemas.microsoft.com/office/drawing/2015/06/chart">
            <c:ext xmlns:c16="http://schemas.microsoft.com/office/drawing/2014/chart" uri="{C3380CC4-5D6E-409C-BE32-E72D297353CC}">
              <c16:uniqueId val="{00000002-C27F-D34D-AEEB-545A06183610}"/>
            </c:ext>
          </c:extLst>
        </c:ser>
        <c:ser>
          <c:idx val="3"/>
          <c:order val="3"/>
          <c:tx>
            <c:strRef>
              <c:f>'Pro Forma'!$B$72</c:f>
              <c:strCache>
                <c:ptCount val="1"/>
                <c:pt idx="0">
                  <c:v>Soft Costs</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 Forma'!$D$68:$I$68</c:f>
              <c:strCache>
                <c:ptCount val="5"/>
                <c:pt idx="0">
                  <c:v>Prototype 1
(Max FAR)</c:v>
                </c:pt>
                <c:pt idx="1">
                  <c:v>Prototype 2
(Max Height + Req Pkg) </c:v>
                </c:pt>
                <c:pt idx="2">
                  <c:v>Prototype 3 
(Max Bldg Type)</c:v>
                </c:pt>
                <c:pt idx="3">
                  <c:v>Prototype 4
(Max Height + Req Pkg)</c:v>
                </c:pt>
                <c:pt idx="4">
                  <c:v>Prototype 5
(Max Building Type)</c:v>
                </c:pt>
              </c:strCache>
            </c:strRef>
          </c:cat>
          <c:val>
            <c:numRef>
              <c:f>'Pro Forma'!$D$72:$I$72</c:f>
              <c:numCache>
                <c:formatCode>"$"#,##0</c:formatCode>
                <c:ptCount val="5"/>
                <c:pt idx="0">
                  <c:v>111000</c:v>
                </c:pt>
                <c:pt idx="1">
                  <c:v>116000</c:v>
                </c:pt>
                <c:pt idx="2">
                  <c:v>108000</c:v>
                </c:pt>
                <c:pt idx="3">
                  <c:v>102000</c:v>
                </c:pt>
                <c:pt idx="4">
                  <c:v>99000</c:v>
                </c:pt>
              </c:numCache>
            </c:numRef>
          </c:val>
          <c:extLst xmlns:c16r2="http://schemas.microsoft.com/office/drawing/2015/06/chart">
            <c:ext xmlns:c16="http://schemas.microsoft.com/office/drawing/2014/chart" uri="{C3380CC4-5D6E-409C-BE32-E72D297353CC}">
              <c16:uniqueId val="{00000003-C27F-D34D-AEEB-545A06183610}"/>
            </c:ext>
          </c:extLst>
        </c:ser>
        <c:dLbls>
          <c:showLegendKey val="0"/>
          <c:showVal val="0"/>
          <c:showCatName val="0"/>
          <c:showSerName val="0"/>
          <c:showPercent val="0"/>
          <c:showBubbleSize val="0"/>
        </c:dLbls>
        <c:gapWidth val="150"/>
        <c:overlap val="100"/>
        <c:axId val="347138712"/>
        <c:axId val="347146160"/>
      </c:barChart>
      <c:catAx>
        <c:axId val="3471387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347146160"/>
        <c:crosses val="autoZero"/>
        <c:auto val="1"/>
        <c:lblAlgn val="ctr"/>
        <c:lblOffset val="100"/>
        <c:noMultiLvlLbl val="0"/>
      </c:catAx>
      <c:valAx>
        <c:axId val="34714616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34713871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1426873826949E-2"/>
          <c:y val="3.1285551763367461E-2"/>
          <c:w val="0.89242917272858524"/>
          <c:h val="0.85447000438938303"/>
        </c:manualLayout>
      </c:layout>
      <c:barChart>
        <c:barDir val="col"/>
        <c:grouping val="stacked"/>
        <c:varyColors val="0"/>
        <c:ser>
          <c:idx val="0"/>
          <c:order val="0"/>
          <c:tx>
            <c:strRef>
              <c:f>'Pro Forma'!$B$69</c:f>
              <c:strCache>
                <c:ptCount val="1"/>
                <c:pt idx="0">
                  <c:v>Land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 Forma'!$J$68:$P$68</c:f>
              <c:strCache>
                <c:ptCount val="4"/>
                <c:pt idx="0">
                  <c:v>Prototype 6
(MU, Height 35 feet)</c:v>
                </c:pt>
                <c:pt idx="1">
                  <c:v>Prototype 7
(MU, Height 45 feet)</c:v>
                </c:pt>
                <c:pt idx="2">
                  <c:v>Prototype 8
(MU, Height 55 feet)</c:v>
                </c:pt>
                <c:pt idx="3">
                  <c:v>Prototype 9
(Res only, Height 45 feet)</c:v>
                </c:pt>
              </c:strCache>
            </c:strRef>
          </c:cat>
          <c:val>
            <c:numRef>
              <c:f>'Pro Forma'!$J$69:$P$69</c:f>
              <c:numCache>
                <c:formatCode>"$"#,##0</c:formatCode>
                <c:ptCount val="4"/>
                <c:pt idx="0">
                  <c:v>66000</c:v>
                </c:pt>
                <c:pt idx="1">
                  <c:v>43000</c:v>
                </c:pt>
                <c:pt idx="2">
                  <c:v>31000</c:v>
                </c:pt>
                <c:pt idx="3">
                  <c:v>40000</c:v>
                </c:pt>
              </c:numCache>
            </c:numRef>
          </c:val>
          <c:extLst xmlns:c16r2="http://schemas.microsoft.com/office/drawing/2015/06/chart">
            <c:ext xmlns:c16="http://schemas.microsoft.com/office/drawing/2014/chart" uri="{C3380CC4-5D6E-409C-BE32-E72D297353CC}">
              <c16:uniqueId val="{00000000-1841-D841-8B21-BC545FBCA59B}"/>
            </c:ext>
          </c:extLst>
        </c:ser>
        <c:ser>
          <c:idx val="1"/>
          <c:order val="1"/>
          <c:tx>
            <c:strRef>
              <c:f>'Pro Forma'!$B$70</c:f>
              <c:strCache>
                <c:ptCount val="1"/>
                <c:pt idx="0">
                  <c:v>Parking</c:v>
                </c:pt>
              </c:strCache>
            </c:strRef>
          </c:tx>
          <c:spPr>
            <a:solidFill>
              <a:schemeClr val="accent2"/>
            </a:solidFill>
            <a:ln>
              <a:noFill/>
            </a:ln>
            <a:effectLst/>
          </c:spPr>
          <c:invertIfNegative val="0"/>
          <c:dLbls>
            <c:dLbl>
              <c:idx val="0"/>
              <c:dLblPos val="ctr"/>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0B-1841-D841-8B21-BC545FBCA59B}"/>
                </c:ext>
                <c:ext xmlns:c15="http://schemas.microsoft.com/office/drawing/2012/chart" uri="{CE6537A1-D6FC-4f65-9D91-7224C49458BB}"/>
              </c:extLst>
            </c:dLbl>
            <c:dLbl>
              <c:idx val="1"/>
              <c:layout>
                <c:manualLayout>
                  <c:x val="6.0168471720819308E-3"/>
                  <c:y val="3.4694469519536142E-18"/>
                </c:manualLayout>
              </c:layout>
              <c:spPr>
                <a:noFill/>
                <a:ln>
                  <a:noFill/>
                </a:ln>
                <a:effectLst/>
              </c:spPr>
              <c:txPr>
                <a:bodyPr rot="0" spcFirstLastPara="1" vertOverflow="ellipsis" vert="horz" wrap="square" lIns="38100" tIns="19050" rIns="38100" bIns="19050" anchor="ctr" anchorCtr="1">
                  <a:noAutofit/>
                </a:bodyPr>
                <a:lstStyle/>
                <a:p>
                  <a:pPr>
                    <a:defRPr sz="105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00-F1ED-4681-B51B-6361CB3FF48B}"/>
                </c:ext>
                <c:ext xmlns:c15="http://schemas.microsoft.com/office/drawing/2012/chart" uri="{CE6537A1-D6FC-4f65-9D91-7224C49458BB}">
                  <c15:layout>
                    <c:manualLayout>
                      <c:w val="0.16208640097785609"/>
                      <c:h val="3.9558232931726917E-2"/>
                    </c:manualLayout>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 Forma'!$J$68:$P$68</c:f>
              <c:strCache>
                <c:ptCount val="4"/>
                <c:pt idx="0">
                  <c:v>Prototype 6
(MU, Height 35 feet)</c:v>
                </c:pt>
                <c:pt idx="1">
                  <c:v>Prototype 7
(MU, Height 45 feet)</c:v>
                </c:pt>
                <c:pt idx="2">
                  <c:v>Prototype 8
(MU, Height 55 feet)</c:v>
                </c:pt>
                <c:pt idx="3">
                  <c:v>Prototype 9
(Res only, Height 45 feet)</c:v>
                </c:pt>
              </c:strCache>
            </c:strRef>
          </c:cat>
          <c:val>
            <c:numRef>
              <c:f>'Pro Forma'!$J$70:$P$70</c:f>
              <c:numCache>
                <c:formatCode>"$"#,##0</c:formatCode>
                <c:ptCount val="4"/>
                <c:pt idx="0">
                  <c:v>46000</c:v>
                </c:pt>
                <c:pt idx="1">
                  <c:v>29000</c:v>
                </c:pt>
                <c:pt idx="2">
                  <c:v>22000</c:v>
                </c:pt>
                <c:pt idx="3">
                  <c:v>27000</c:v>
                </c:pt>
              </c:numCache>
            </c:numRef>
          </c:val>
          <c:extLst xmlns:c16r2="http://schemas.microsoft.com/office/drawing/2015/06/chart">
            <c:ext xmlns:c16="http://schemas.microsoft.com/office/drawing/2014/chart" uri="{C3380CC4-5D6E-409C-BE32-E72D297353CC}">
              <c16:uniqueId val="{00000002-1841-D841-8B21-BC545FBCA59B}"/>
            </c:ext>
          </c:extLst>
        </c:ser>
        <c:ser>
          <c:idx val="2"/>
          <c:order val="2"/>
          <c:tx>
            <c:strRef>
              <c:f>'Pro Forma'!$B$71</c:f>
              <c:strCache>
                <c:ptCount val="1"/>
                <c:pt idx="0">
                  <c:v>Building Costs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 Forma'!$J$68:$P$68</c:f>
              <c:strCache>
                <c:ptCount val="4"/>
                <c:pt idx="0">
                  <c:v>Prototype 6
(MU, Height 35 feet)</c:v>
                </c:pt>
                <c:pt idx="1">
                  <c:v>Prototype 7
(MU, Height 45 feet)</c:v>
                </c:pt>
                <c:pt idx="2">
                  <c:v>Prototype 8
(MU, Height 55 feet)</c:v>
                </c:pt>
                <c:pt idx="3">
                  <c:v>Prototype 9
(Res only, Height 45 feet)</c:v>
                </c:pt>
              </c:strCache>
            </c:strRef>
          </c:cat>
          <c:val>
            <c:numRef>
              <c:f>'Pro Forma'!$J$71:$P$71</c:f>
              <c:numCache>
                <c:formatCode>"$"#,##0</c:formatCode>
                <c:ptCount val="4"/>
                <c:pt idx="0">
                  <c:v>301000</c:v>
                </c:pt>
                <c:pt idx="1">
                  <c:v>272000</c:v>
                </c:pt>
                <c:pt idx="2">
                  <c:v>259000</c:v>
                </c:pt>
                <c:pt idx="3">
                  <c:v>254000</c:v>
                </c:pt>
              </c:numCache>
            </c:numRef>
          </c:val>
          <c:extLst xmlns:c16r2="http://schemas.microsoft.com/office/drawing/2015/06/chart">
            <c:ext xmlns:c16="http://schemas.microsoft.com/office/drawing/2014/chart" uri="{C3380CC4-5D6E-409C-BE32-E72D297353CC}">
              <c16:uniqueId val="{00000003-1841-D841-8B21-BC545FBCA59B}"/>
            </c:ext>
          </c:extLst>
        </c:ser>
        <c:ser>
          <c:idx val="3"/>
          <c:order val="3"/>
          <c:tx>
            <c:strRef>
              <c:f>'Pro Forma'!$B$72</c:f>
              <c:strCache>
                <c:ptCount val="1"/>
                <c:pt idx="0">
                  <c:v>Soft Costs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 Forma'!$J$68:$P$68</c:f>
              <c:strCache>
                <c:ptCount val="4"/>
                <c:pt idx="0">
                  <c:v>Prototype 6
(MU, Height 35 feet)</c:v>
                </c:pt>
                <c:pt idx="1">
                  <c:v>Prototype 7
(MU, Height 45 feet)</c:v>
                </c:pt>
                <c:pt idx="2">
                  <c:v>Prototype 8
(MU, Height 55 feet)</c:v>
                </c:pt>
                <c:pt idx="3">
                  <c:v>Prototype 9
(Res only, Height 45 feet)</c:v>
                </c:pt>
              </c:strCache>
            </c:strRef>
          </c:cat>
          <c:val>
            <c:numRef>
              <c:f>'Pro Forma'!$J$72:$P$72</c:f>
              <c:numCache>
                <c:formatCode>"$"#,##0</c:formatCode>
                <c:ptCount val="4"/>
                <c:pt idx="0">
                  <c:v>118000</c:v>
                </c:pt>
                <c:pt idx="1">
                  <c:v>107000</c:v>
                </c:pt>
                <c:pt idx="2">
                  <c:v>101000</c:v>
                </c:pt>
                <c:pt idx="3">
                  <c:v>102000</c:v>
                </c:pt>
              </c:numCache>
            </c:numRef>
          </c:val>
          <c:extLst xmlns:c16r2="http://schemas.microsoft.com/office/drawing/2015/06/chart">
            <c:ext xmlns:c16="http://schemas.microsoft.com/office/drawing/2014/chart" uri="{C3380CC4-5D6E-409C-BE32-E72D297353CC}">
              <c16:uniqueId val="{00000005-1841-D841-8B21-BC545FBCA59B}"/>
            </c:ext>
          </c:extLst>
        </c:ser>
        <c:dLbls>
          <c:showLegendKey val="0"/>
          <c:showVal val="0"/>
          <c:showCatName val="0"/>
          <c:showSerName val="0"/>
          <c:showPercent val="0"/>
          <c:showBubbleSize val="0"/>
        </c:dLbls>
        <c:gapWidth val="150"/>
        <c:overlap val="100"/>
        <c:axId val="347141064"/>
        <c:axId val="347145376"/>
      </c:barChart>
      <c:catAx>
        <c:axId val="3471410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347145376"/>
        <c:crosses val="autoZero"/>
        <c:auto val="1"/>
        <c:lblAlgn val="ctr"/>
        <c:lblOffset val="100"/>
        <c:noMultiLvlLbl val="0"/>
      </c:catAx>
      <c:valAx>
        <c:axId val="3471453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3471410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721805234912E-2"/>
          <c:y val="0.18148420790002801"/>
          <c:w val="0.87072179185834886"/>
          <c:h val="0.73903042090895832"/>
        </c:manualLayout>
      </c:layout>
      <c:barChart>
        <c:barDir val="col"/>
        <c:grouping val="stacked"/>
        <c:varyColors val="0"/>
        <c:ser>
          <c:idx val="0"/>
          <c:order val="0"/>
          <c:tx>
            <c:strRef>
              <c:f>'Pro Forma UG Parking'!$B$69</c:f>
              <c:strCache>
                <c:ptCount val="1"/>
                <c:pt idx="0">
                  <c:v>Land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Franklin Gothic Book" panose="020B0503020102020204" pitchFamily="34" charset="0"/>
                    <a:ea typeface="+mn-ea"/>
                    <a:cs typeface="+mn-cs"/>
                  </a:defRPr>
                </a:pPr>
                <a:endParaRPr lang="en-US"/>
              </a:p>
            </c:txPr>
            <c:dLblPos val="inEnd"/>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'Pro Forma UG Parking'!$I$13:$N$13</c15:sqref>
                  </c15:fullRef>
                </c:ext>
              </c:extLst>
              <c:f>('Pro Forma UG Parking'!$I$13:$J$13,'Pro Forma UG Parking'!$L$13:$N$13)</c:f>
              <c:strCache>
                <c:ptCount val="3"/>
                <c:pt idx="0">
                  <c:v>Prototype 6
(Height 35 feet)</c:v>
                </c:pt>
                <c:pt idx="1">
                  <c:v>Prototype 8
(Height 45 feet)</c:v>
                </c:pt>
                <c:pt idx="2">
                  <c:v>Prototype 7
(Height 55 feet)</c:v>
                </c:pt>
              </c:strCache>
            </c:strRef>
          </c:cat>
          <c:val>
            <c:numRef>
              <c:extLst>
                <c:ext xmlns:c15="http://schemas.microsoft.com/office/drawing/2012/chart" uri="{02D57815-91ED-43cb-92C2-25804820EDAC}">
                  <c15:fullRef>
                    <c15:sqref>'Pro Forma UG Parking'!$I$69:$N$69</c15:sqref>
                  </c15:fullRef>
                </c:ext>
              </c:extLst>
              <c:f>('Pro Forma UG Parking'!$I$69:$J$69,'Pro Forma UG Parking'!$L$69:$N$69)</c:f>
              <c:numCache>
                <c:formatCode>"$"#,##0</c:formatCode>
                <c:ptCount val="3"/>
                <c:pt idx="0">
                  <c:v>66000</c:v>
                </c:pt>
                <c:pt idx="1">
                  <c:v>40000</c:v>
                </c:pt>
                <c:pt idx="2">
                  <c:v>31000</c:v>
                </c:pt>
              </c:numCache>
            </c:numRef>
          </c:val>
          <c:extLst xmlns:c16r2="http://schemas.microsoft.com/office/drawing/2015/06/chart">
            <c:ext xmlns:c16="http://schemas.microsoft.com/office/drawing/2014/chart" uri="{C3380CC4-5D6E-409C-BE32-E72D297353CC}">
              <c16:uniqueId val="{00000000-952B-4918-ACA6-260D0DE5F9A5}"/>
            </c:ext>
          </c:extLst>
        </c:ser>
        <c:ser>
          <c:idx val="1"/>
          <c:order val="1"/>
          <c:tx>
            <c:strRef>
              <c:f>'Pro Forma UG Parking'!$B$70</c:f>
              <c:strCache>
                <c:ptCount val="1"/>
                <c:pt idx="0">
                  <c:v>Parking</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Franklin Gothic Book" panose="020B0503020102020204" pitchFamily="34" charset="0"/>
                    <a:ea typeface="+mn-ea"/>
                    <a:cs typeface="+mn-cs"/>
                  </a:defRPr>
                </a:pPr>
                <a:endParaRPr lang="en-US"/>
              </a:p>
            </c:txPr>
            <c:dLblPos val="inEnd"/>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'Pro Forma UG Parking'!$I$13:$N$13</c15:sqref>
                  </c15:fullRef>
                </c:ext>
              </c:extLst>
              <c:f>('Pro Forma UG Parking'!$I$13:$J$13,'Pro Forma UG Parking'!$L$13:$N$13)</c:f>
              <c:strCache>
                <c:ptCount val="3"/>
                <c:pt idx="0">
                  <c:v>Prototype 6
(Height 35 feet)</c:v>
                </c:pt>
                <c:pt idx="1">
                  <c:v>Prototype 8
(Height 45 feet)</c:v>
                </c:pt>
                <c:pt idx="2">
                  <c:v>Prototype 7
(Height 55 feet)</c:v>
                </c:pt>
              </c:strCache>
            </c:strRef>
          </c:cat>
          <c:val>
            <c:numRef>
              <c:extLst>
                <c:ext xmlns:c15="http://schemas.microsoft.com/office/drawing/2012/chart" uri="{02D57815-91ED-43cb-92C2-25804820EDAC}">
                  <c15:fullRef>
                    <c15:sqref>'Pro Forma UG Parking'!$I$70:$N$70</c15:sqref>
                  </c15:fullRef>
                </c:ext>
              </c:extLst>
              <c:f>('Pro Forma UG Parking'!$I$70:$J$70,'Pro Forma UG Parking'!$L$70:$N$70)</c:f>
              <c:numCache>
                <c:formatCode>"$"#,##0</c:formatCode>
                <c:ptCount val="3"/>
                <c:pt idx="0">
                  <c:v>91000</c:v>
                </c:pt>
                <c:pt idx="1">
                  <c:v>55000</c:v>
                </c:pt>
                <c:pt idx="2">
                  <c:v>43000</c:v>
                </c:pt>
              </c:numCache>
            </c:numRef>
          </c:val>
          <c:extLst xmlns:c16r2="http://schemas.microsoft.com/office/drawing/2015/06/chart">
            <c:ext xmlns:c16="http://schemas.microsoft.com/office/drawing/2014/chart" uri="{C3380CC4-5D6E-409C-BE32-E72D297353CC}">
              <c16:uniqueId val="{00000001-952B-4918-ACA6-260D0DE5F9A5}"/>
            </c:ext>
          </c:extLst>
        </c:ser>
        <c:ser>
          <c:idx val="2"/>
          <c:order val="2"/>
          <c:tx>
            <c:strRef>
              <c:f>'Pro Forma UG Parking'!$B$71</c:f>
              <c:strCache>
                <c:ptCount val="1"/>
                <c:pt idx="0">
                  <c:v>Building Costs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Franklin Gothic Book" panose="020B0503020102020204" pitchFamily="34" charset="0"/>
                    <a:ea typeface="+mn-ea"/>
                    <a:cs typeface="+mn-cs"/>
                  </a:defRPr>
                </a:pPr>
                <a:endParaRPr lang="en-US"/>
              </a:p>
            </c:txPr>
            <c:dLblPos val="inEnd"/>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'Pro Forma UG Parking'!$I$13:$N$13</c15:sqref>
                  </c15:fullRef>
                </c:ext>
              </c:extLst>
              <c:f>('Pro Forma UG Parking'!$I$13:$J$13,'Pro Forma UG Parking'!$L$13:$N$13)</c:f>
              <c:strCache>
                <c:ptCount val="3"/>
                <c:pt idx="0">
                  <c:v>Prototype 6
(Height 35 feet)</c:v>
                </c:pt>
                <c:pt idx="1">
                  <c:v>Prototype 8
(Height 45 feet)</c:v>
                </c:pt>
                <c:pt idx="2">
                  <c:v>Prototype 7
(Height 55 feet)</c:v>
                </c:pt>
              </c:strCache>
            </c:strRef>
          </c:cat>
          <c:val>
            <c:numRef>
              <c:extLst>
                <c:ext xmlns:c15="http://schemas.microsoft.com/office/drawing/2012/chart" uri="{02D57815-91ED-43cb-92C2-25804820EDAC}">
                  <c15:fullRef>
                    <c15:sqref>'Pro Forma UG Parking'!$I$71:$N$71</c15:sqref>
                  </c15:fullRef>
                </c:ext>
              </c:extLst>
              <c:f>('Pro Forma UG Parking'!$I$71:$J$71,'Pro Forma UG Parking'!$L$71:$N$71)</c:f>
              <c:numCache>
                <c:formatCode>"$"#,##0</c:formatCode>
                <c:ptCount val="3"/>
                <c:pt idx="0">
                  <c:v>301000</c:v>
                </c:pt>
                <c:pt idx="1">
                  <c:v>254000</c:v>
                </c:pt>
                <c:pt idx="2">
                  <c:v>259000</c:v>
                </c:pt>
              </c:numCache>
            </c:numRef>
          </c:val>
          <c:extLst xmlns:c16r2="http://schemas.microsoft.com/office/drawing/2015/06/chart">
            <c:ext xmlns:c16="http://schemas.microsoft.com/office/drawing/2014/chart" uri="{C3380CC4-5D6E-409C-BE32-E72D297353CC}">
              <c16:uniqueId val="{00000002-952B-4918-ACA6-260D0DE5F9A5}"/>
            </c:ext>
          </c:extLst>
        </c:ser>
        <c:ser>
          <c:idx val="3"/>
          <c:order val="3"/>
          <c:tx>
            <c:strRef>
              <c:f>'Pro Forma UG Parking'!$B$72</c:f>
              <c:strCache>
                <c:ptCount val="1"/>
                <c:pt idx="0">
                  <c:v>Soft Costs</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Franklin Gothic Book" panose="020B0503020102020204" pitchFamily="34" charset="0"/>
                    <a:ea typeface="+mn-ea"/>
                    <a:cs typeface="+mn-cs"/>
                  </a:defRPr>
                </a:pPr>
                <a:endParaRPr lang="en-US"/>
              </a:p>
            </c:txPr>
            <c:dLblPos val="inEnd"/>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'Pro Forma UG Parking'!$I$13:$N$13</c15:sqref>
                  </c15:fullRef>
                </c:ext>
              </c:extLst>
              <c:f>('Pro Forma UG Parking'!$I$13:$J$13,'Pro Forma UG Parking'!$L$13:$N$13)</c:f>
              <c:strCache>
                <c:ptCount val="3"/>
                <c:pt idx="0">
                  <c:v>Prototype 6
(Height 35 feet)</c:v>
                </c:pt>
                <c:pt idx="1">
                  <c:v>Prototype 8
(Height 45 feet)</c:v>
                </c:pt>
                <c:pt idx="2">
                  <c:v>Prototype 7
(Height 55 feet)</c:v>
                </c:pt>
              </c:strCache>
            </c:strRef>
          </c:cat>
          <c:val>
            <c:numRef>
              <c:extLst>
                <c:ext xmlns:c15="http://schemas.microsoft.com/office/drawing/2012/chart" uri="{02D57815-91ED-43cb-92C2-25804820EDAC}">
                  <c15:fullRef>
                    <c15:sqref>'Pro Forma UG Parking'!$I$72:$N$72</c15:sqref>
                  </c15:fullRef>
                </c:ext>
              </c:extLst>
              <c:f>('Pro Forma UG Parking'!$I$72:$J$72,'Pro Forma UG Parking'!$L$72:$N$72)</c:f>
              <c:numCache>
                <c:formatCode>"$"#,##0</c:formatCode>
                <c:ptCount val="3"/>
                <c:pt idx="0">
                  <c:v>124000</c:v>
                </c:pt>
                <c:pt idx="1">
                  <c:v>104000</c:v>
                </c:pt>
                <c:pt idx="2">
                  <c:v>102000</c:v>
                </c:pt>
              </c:numCache>
            </c:numRef>
          </c:val>
          <c:extLst xmlns:c16r2="http://schemas.microsoft.com/office/drawing/2015/06/chart">
            <c:ext xmlns:c16="http://schemas.microsoft.com/office/drawing/2014/chart" uri="{C3380CC4-5D6E-409C-BE32-E72D297353CC}">
              <c16:uniqueId val="{00000003-952B-4918-ACA6-260D0DE5F9A5}"/>
            </c:ext>
          </c:extLst>
        </c:ser>
        <c:dLbls>
          <c:dLblPos val="inEnd"/>
          <c:showLegendKey val="0"/>
          <c:showVal val="1"/>
          <c:showCatName val="0"/>
          <c:showSerName val="0"/>
          <c:showPercent val="0"/>
          <c:showBubbleSize val="0"/>
        </c:dLbls>
        <c:gapWidth val="30"/>
        <c:overlap val="100"/>
        <c:axId val="347143808"/>
        <c:axId val="347141848"/>
      </c:barChart>
      <c:catAx>
        <c:axId val="347143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Franklin Gothic Book" panose="020B0503020102020204" pitchFamily="34" charset="0"/>
                <a:ea typeface="+mn-ea"/>
                <a:cs typeface="+mn-cs"/>
              </a:defRPr>
            </a:pPr>
            <a:endParaRPr lang="en-US"/>
          </a:p>
        </c:txPr>
        <c:crossAx val="347141848"/>
        <c:crosses val="autoZero"/>
        <c:auto val="1"/>
        <c:lblAlgn val="ctr"/>
        <c:lblOffset val="100"/>
        <c:noMultiLvlLbl val="0"/>
      </c:catAx>
      <c:valAx>
        <c:axId val="34714184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Franklin Gothic Book" panose="020B0503020102020204" pitchFamily="34" charset="0"/>
                <a:ea typeface="+mn-ea"/>
                <a:cs typeface="+mn-cs"/>
              </a:defRPr>
            </a:pPr>
            <a:endParaRPr lang="en-US"/>
          </a:p>
        </c:txPr>
        <c:crossAx val="34714380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Franklin Gothic Book" panose="020B0503020102020204" pitchFamily="34" charset="0"/>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721805234912E-2"/>
          <c:y val="0.12017197550136992"/>
          <c:w val="0.89928279522889987"/>
          <c:h val="0.80034265330761645"/>
        </c:manualLayout>
      </c:layout>
      <c:barChart>
        <c:barDir val="col"/>
        <c:grouping val="stacked"/>
        <c:varyColors val="0"/>
        <c:ser>
          <c:idx val="0"/>
          <c:order val="0"/>
          <c:tx>
            <c:strRef>
              <c:f>'Pro Forma UG Parking'!$B$69</c:f>
              <c:strCache>
                <c:ptCount val="1"/>
                <c:pt idx="0">
                  <c:v>Land</c:v>
                </c:pt>
              </c:strCache>
            </c:strRef>
          </c:tx>
          <c:spPr>
            <a:solidFill>
              <a:schemeClr val="accent1"/>
            </a:solidFill>
            <a:ln>
              <a:noFill/>
            </a:ln>
            <a:effectLst/>
          </c:spPr>
          <c:invertIfNegative val="0"/>
          <c:dLbls>
            <c:dLbl>
              <c:idx val="0"/>
              <c:layout>
                <c:manualLayout>
                  <c:x val="-5.6802790105341594E-3"/>
                  <c:y val="2.9308528903575319E-3"/>
                </c:manualLayout>
              </c:layout>
              <c:dLblPos val="ctr"/>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00-B757-4A30-A629-A08FCE037DD5}"/>
                </c:ext>
                <c:ext xmlns:c15="http://schemas.microsoft.com/office/drawing/2012/chart" uri="{CE6537A1-D6FC-4f65-9D91-7224C49458BB}"/>
              </c:extLst>
            </c:dLbl>
            <c:dLbl>
              <c:idx val="2"/>
              <c:layout>
                <c:manualLayout>
                  <c:x val="3.7868526736893008E-3"/>
                  <c:y val="-8.3004472424454286E-4"/>
                </c:manualLayout>
              </c:layout>
              <c:dLblPos val="ctr"/>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01-B757-4A30-A629-A08FCE037DD5}"/>
                </c:ext>
                <c:ext xmlns:c15="http://schemas.microsoft.com/office/drawing/2012/chart" uri="{CE6537A1-D6FC-4f65-9D91-7224C49458BB}"/>
              </c:extLst>
            </c:dLbl>
            <c:dLbl>
              <c:idx val="4"/>
              <c:layout>
                <c:manualLayout>
                  <c:x val="0"/>
                  <c:y val="-4.8122860830694816E-4"/>
                </c:manualLayout>
              </c:layout>
              <c:dLblPos val="ctr"/>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00-07C5-435F-A367-FFD908FF87FA}"/>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Franklin Gothic Book" panose="020B0503020102020204" pitchFamily="34" charset="0"/>
                    <a:ea typeface="+mn-ea"/>
                    <a:cs typeface="+mn-cs"/>
                  </a:defRPr>
                </a:pPr>
                <a:endParaRPr lang="en-US"/>
              </a:p>
            </c:txPr>
            <c:dLblPos val="inEnd"/>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0"/>
              </c:ext>
            </c:extLst>
          </c:dLbls>
          <c:cat>
            <c:strRef>
              <c:f>'Pro Forma UG Parking'!$D$13:$H$13</c:f>
              <c:strCache>
                <c:ptCount val="5"/>
                <c:pt idx="0">
                  <c:v>Prototype 1
(Max FAR)</c:v>
                </c:pt>
                <c:pt idx="1">
                  <c:v>Prototype 2
(Max Height and Required Parking) </c:v>
                </c:pt>
                <c:pt idx="2">
                  <c:v>Prototype 3
(Max Building Type)</c:v>
                </c:pt>
                <c:pt idx="3">
                  <c:v>Prototype 4
(Max Height and Required Parking)</c:v>
                </c:pt>
                <c:pt idx="4">
                  <c:v>Prototype 5
(Max Building Type)</c:v>
                </c:pt>
              </c:strCache>
            </c:strRef>
          </c:cat>
          <c:val>
            <c:numRef>
              <c:f>'Pro Forma UG Parking'!$D$69:$H$69</c:f>
              <c:numCache>
                <c:formatCode>"$"#,##0</c:formatCode>
                <c:ptCount val="5"/>
                <c:pt idx="0">
                  <c:v>42000</c:v>
                </c:pt>
                <c:pt idx="1">
                  <c:v>40000</c:v>
                </c:pt>
                <c:pt idx="2">
                  <c:v>29000</c:v>
                </c:pt>
                <c:pt idx="3">
                  <c:v>34000</c:v>
                </c:pt>
                <c:pt idx="4">
                  <c:v>25000</c:v>
                </c:pt>
              </c:numCache>
            </c:numRef>
          </c:val>
          <c:extLst xmlns:c16r2="http://schemas.microsoft.com/office/drawing/2015/06/chart">
            <c:ext xmlns:c16="http://schemas.microsoft.com/office/drawing/2014/chart" uri="{C3380CC4-5D6E-409C-BE32-E72D297353CC}">
              <c16:uniqueId val="{00000003-B757-4A30-A629-A08FCE037DD5}"/>
            </c:ext>
          </c:extLst>
        </c:ser>
        <c:ser>
          <c:idx val="1"/>
          <c:order val="1"/>
          <c:tx>
            <c:strRef>
              <c:f>'Pro Forma UG Parking'!$B$70</c:f>
              <c:strCache>
                <c:ptCount val="1"/>
                <c:pt idx="0">
                  <c:v>Parking</c:v>
                </c:pt>
              </c:strCache>
            </c:strRef>
          </c:tx>
          <c:spPr>
            <a:solidFill>
              <a:schemeClr val="accent2"/>
            </a:solidFill>
            <a:ln>
              <a:noFill/>
            </a:ln>
            <a:effectLst/>
          </c:spPr>
          <c:invertIfNegative val="0"/>
          <c:dLbls>
            <c:dLbl>
              <c:idx val="0"/>
              <c:layout>
                <c:manualLayout>
                  <c:x val="-1.6706771688678387E-3"/>
                  <c:y val="-1.286713971959395E-3"/>
                </c:manualLayout>
              </c:layout>
              <c:dLblPos val="ctr"/>
              <c:showLegendKey val="0"/>
              <c:showVal val="1"/>
              <c:showCatName val="0"/>
              <c:showSerName val="1"/>
              <c:showPercent val="0"/>
              <c:showBubbleSize val="0"/>
              <c:separator> </c:separator>
              <c:extLst xmlns:c16r2="http://schemas.microsoft.com/office/drawing/2015/06/chart">
                <c:ext xmlns:c16="http://schemas.microsoft.com/office/drawing/2014/chart" uri="{C3380CC4-5D6E-409C-BE32-E72D297353CC}">
                  <c16:uniqueId val="{00000004-B757-4A30-A629-A08FCE037DD5}"/>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Franklin Gothic Book" panose="020B0503020102020204" pitchFamily="34" charset="0"/>
                    <a:ea typeface="+mn-ea"/>
                    <a:cs typeface="+mn-cs"/>
                  </a:defRPr>
                </a:pPr>
                <a:endParaRPr lang="en-US"/>
              </a:p>
            </c:txPr>
            <c:dLblPos val="inEnd"/>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 Forma UG Parking'!$D$13:$H$13</c:f>
              <c:strCache>
                <c:ptCount val="5"/>
                <c:pt idx="0">
                  <c:v>Prototype 1
(Max FAR)</c:v>
                </c:pt>
                <c:pt idx="1">
                  <c:v>Prototype 2
(Max Height and Required Parking) </c:v>
                </c:pt>
                <c:pt idx="2">
                  <c:v>Prototype 3
(Max Building Type)</c:v>
                </c:pt>
                <c:pt idx="3">
                  <c:v>Prototype 4
(Max Height and Required Parking)</c:v>
                </c:pt>
                <c:pt idx="4">
                  <c:v>Prototype 5
(Max Building Type)</c:v>
                </c:pt>
              </c:strCache>
            </c:strRef>
          </c:cat>
          <c:val>
            <c:numRef>
              <c:f>'Pro Forma UG Parking'!$D$70:$H$70</c:f>
              <c:numCache>
                <c:formatCode>"$"#,##0</c:formatCode>
                <c:ptCount val="5"/>
                <c:pt idx="0">
                  <c:v>61000</c:v>
                </c:pt>
                <c:pt idx="1">
                  <c:v>106000</c:v>
                </c:pt>
                <c:pt idx="2">
                  <c:v>75000</c:v>
                </c:pt>
                <c:pt idx="3">
                  <c:v>91000</c:v>
                </c:pt>
                <c:pt idx="4">
                  <c:v>68000</c:v>
                </c:pt>
              </c:numCache>
            </c:numRef>
          </c:val>
          <c:extLst xmlns:c16r2="http://schemas.microsoft.com/office/drawing/2015/06/chart">
            <c:ext xmlns:c16="http://schemas.microsoft.com/office/drawing/2014/chart" uri="{C3380CC4-5D6E-409C-BE32-E72D297353CC}">
              <c16:uniqueId val="{00000005-B757-4A30-A629-A08FCE037DD5}"/>
            </c:ext>
          </c:extLst>
        </c:ser>
        <c:ser>
          <c:idx val="2"/>
          <c:order val="2"/>
          <c:tx>
            <c:strRef>
              <c:f>'Pro Forma UG Parking'!$B$71</c:f>
              <c:strCache>
                <c:ptCount val="1"/>
                <c:pt idx="0">
                  <c:v>Building Costs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Franklin Gothic Book" panose="020B0503020102020204" pitchFamily="34" charset="0"/>
                    <a:ea typeface="+mn-ea"/>
                    <a:cs typeface="+mn-cs"/>
                  </a:defRPr>
                </a:pPr>
                <a:endParaRPr lang="en-US"/>
              </a:p>
            </c:txPr>
            <c:dLblPos val="inEnd"/>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 Forma UG Parking'!$D$13:$H$13</c:f>
              <c:strCache>
                <c:ptCount val="5"/>
                <c:pt idx="0">
                  <c:v>Prototype 1
(Max FAR)</c:v>
                </c:pt>
                <c:pt idx="1">
                  <c:v>Prototype 2
(Max Height and Required Parking) </c:v>
                </c:pt>
                <c:pt idx="2">
                  <c:v>Prototype 3
(Max Building Type)</c:v>
                </c:pt>
                <c:pt idx="3">
                  <c:v>Prototype 4
(Max Height and Required Parking)</c:v>
                </c:pt>
                <c:pt idx="4">
                  <c:v>Prototype 5
(Max Building Type)</c:v>
                </c:pt>
              </c:strCache>
            </c:strRef>
          </c:cat>
          <c:val>
            <c:numRef>
              <c:f>'Pro Forma UG Parking'!$D$71:$H$71</c:f>
              <c:numCache>
                <c:formatCode>"$"#,##0</c:formatCode>
                <c:ptCount val="5"/>
                <c:pt idx="0">
                  <c:v>288000</c:v>
                </c:pt>
                <c:pt idx="1">
                  <c:v>287000</c:v>
                </c:pt>
                <c:pt idx="2">
                  <c:v>272000</c:v>
                </c:pt>
                <c:pt idx="3">
                  <c:v>236000</c:v>
                </c:pt>
                <c:pt idx="4">
                  <c:v>237000</c:v>
                </c:pt>
              </c:numCache>
            </c:numRef>
          </c:val>
          <c:extLst xmlns:c16r2="http://schemas.microsoft.com/office/drawing/2015/06/chart">
            <c:ext xmlns:c16="http://schemas.microsoft.com/office/drawing/2014/chart" uri="{C3380CC4-5D6E-409C-BE32-E72D297353CC}">
              <c16:uniqueId val="{00000006-B757-4A30-A629-A08FCE037DD5}"/>
            </c:ext>
          </c:extLst>
        </c:ser>
        <c:ser>
          <c:idx val="3"/>
          <c:order val="3"/>
          <c:tx>
            <c:strRef>
              <c:f>'Pro Forma UG Parking'!$B$72</c:f>
              <c:strCache>
                <c:ptCount val="1"/>
                <c:pt idx="0">
                  <c:v>Soft Costs</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Franklin Gothic Book" panose="020B0503020102020204" pitchFamily="34" charset="0"/>
                    <a:ea typeface="+mn-ea"/>
                    <a:cs typeface="+mn-cs"/>
                  </a:defRPr>
                </a:pPr>
                <a:endParaRPr lang="en-US"/>
              </a:p>
            </c:txPr>
            <c:dLblPos val="ctr"/>
            <c:showLegendKey val="0"/>
            <c:showVal val="1"/>
            <c:showCatName val="0"/>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0"/>
              </c:ext>
            </c:extLst>
          </c:dLbls>
          <c:cat>
            <c:strRef>
              <c:f>'Pro Forma UG Parking'!$D$13:$H$13</c:f>
              <c:strCache>
                <c:ptCount val="5"/>
                <c:pt idx="0">
                  <c:v>Prototype 1
(Max FAR)</c:v>
                </c:pt>
                <c:pt idx="1">
                  <c:v>Prototype 2
(Max Height and Required Parking) </c:v>
                </c:pt>
                <c:pt idx="2">
                  <c:v>Prototype 3
(Max Building Type)</c:v>
                </c:pt>
                <c:pt idx="3">
                  <c:v>Prototype 4
(Max Height and Required Parking)</c:v>
                </c:pt>
                <c:pt idx="4">
                  <c:v>Prototype 5
(Max Building Type)</c:v>
                </c:pt>
              </c:strCache>
            </c:strRef>
          </c:cat>
          <c:val>
            <c:numRef>
              <c:f>'Pro Forma UG Parking'!$D$72:$H$72</c:f>
              <c:numCache>
                <c:formatCode>"$"#,##0</c:formatCode>
                <c:ptCount val="5"/>
                <c:pt idx="0">
                  <c:v>113000</c:v>
                </c:pt>
                <c:pt idx="1">
                  <c:v>123000</c:v>
                </c:pt>
                <c:pt idx="2">
                  <c:v>112000</c:v>
                </c:pt>
                <c:pt idx="3">
                  <c:v>108000</c:v>
                </c:pt>
                <c:pt idx="4">
                  <c:v>103000</c:v>
                </c:pt>
              </c:numCache>
            </c:numRef>
          </c:val>
          <c:extLst xmlns:c16r2="http://schemas.microsoft.com/office/drawing/2015/06/chart">
            <c:ext xmlns:c16="http://schemas.microsoft.com/office/drawing/2014/chart" uri="{C3380CC4-5D6E-409C-BE32-E72D297353CC}">
              <c16:uniqueId val="{00000007-B757-4A30-A629-A08FCE037DD5}"/>
            </c:ext>
          </c:extLst>
        </c:ser>
        <c:dLbls>
          <c:dLblPos val="inEnd"/>
          <c:showLegendKey val="0"/>
          <c:showVal val="1"/>
          <c:showCatName val="0"/>
          <c:showSerName val="0"/>
          <c:showPercent val="0"/>
          <c:showBubbleSize val="0"/>
        </c:dLbls>
        <c:gapWidth val="30"/>
        <c:overlap val="100"/>
        <c:axId val="347142240"/>
        <c:axId val="347139496"/>
      </c:barChart>
      <c:catAx>
        <c:axId val="347142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Franklin Gothic Book" panose="020B0503020102020204" pitchFamily="34" charset="0"/>
                <a:ea typeface="+mn-ea"/>
                <a:cs typeface="+mn-cs"/>
              </a:defRPr>
            </a:pPr>
            <a:endParaRPr lang="en-US"/>
          </a:p>
        </c:txPr>
        <c:crossAx val="347139496"/>
        <c:crosses val="autoZero"/>
        <c:auto val="1"/>
        <c:lblAlgn val="ctr"/>
        <c:lblOffset val="100"/>
        <c:noMultiLvlLbl val="0"/>
      </c:catAx>
      <c:valAx>
        <c:axId val="34713949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Franklin Gothic Book" panose="020B0503020102020204" pitchFamily="34" charset="0"/>
                <a:ea typeface="+mn-ea"/>
                <a:cs typeface="+mn-cs"/>
              </a:defRPr>
            </a:pPr>
            <a:endParaRPr lang="en-US"/>
          </a:p>
        </c:txPr>
        <c:crossAx val="3471422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latin typeface="Franklin Gothic Book" panose="020B05030201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229991232375736E-2"/>
          <c:y val="0.10475861252157524"/>
          <c:w val="0.91837728625584503"/>
          <c:h val="0.78858932748837074"/>
        </c:manualLayout>
      </c:layout>
      <c:barChart>
        <c:barDir val="col"/>
        <c:grouping val="clustered"/>
        <c:varyColors val="0"/>
        <c:ser>
          <c:idx val="3"/>
          <c:order val="1"/>
          <c:tx>
            <c:strRef>
              <c:f>'Pro Forma UG Parking'!$B$61</c:f>
              <c:strCache>
                <c:ptCount val="1"/>
                <c:pt idx="0">
                  <c:v>Project Yield-on-cost</c:v>
                </c:pt>
              </c:strCache>
            </c:strRef>
          </c:tx>
          <c:spPr>
            <a:solidFill>
              <a:schemeClr val="accent4"/>
            </a:solidFill>
            <a:ln>
              <a:noFill/>
            </a:ln>
            <a:effectLst/>
          </c:spPr>
          <c:invertIfNegative val="0"/>
          <c:dPt>
            <c:idx val="3"/>
            <c:invertIfNegative val="0"/>
            <c:bubble3D val="0"/>
            <c:spPr>
              <a:solidFill>
                <a:schemeClr val="accent3">
                  <a:lumMod val="60000"/>
                  <a:lumOff val="40000"/>
                </a:schemeClr>
              </a:solidFill>
              <a:ln>
                <a:noFill/>
              </a:ln>
              <a:effectLst/>
            </c:spPr>
            <c:extLst xmlns:c16r2="http://schemas.microsoft.com/office/drawing/2015/06/chart">
              <c:ext xmlns:c16="http://schemas.microsoft.com/office/drawing/2014/chart" uri="{C3380CC4-5D6E-409C-BE32-E72D297353CC}">
                <c16:uniqueId val="{00000001-3908-4B2A-BDF4-6A301709F26F}"/>
              </c:ext>
            </c:extLst>
          </c:dPt>
          <c:dPt>
            <c:idx val="4"/>
            <c:invertIfNegative val="0"/>
            <c:bubble3D val="0"/>
            <c:spPr>
              <a:solidFill>
                <a:schemeClr val="accent3">
                  <a:lumMod val="60000"/>
                  <a:lumOff val="40000"/>
                </a:schemeClr>
              </a:solidFill>
              <a:ln>
                <a:noFill/>
              </a:ln>
              <a:effectLst/>
            </c:spPr>
            <c:extLst xmlns:c16r2="http://schemas.microsoft.com/office/drawing/2015/06/chart">
              <c:ext xmlns:c16="http://schemas.microsoft.com/office/drawing/2014/chart" uri="{C3380CC4-5D6E-409C-BE32-E72D297353CC}">
                <c16:uniqueId val="{00000001-2B7B-4FEF-9F91-48590661741D}"/>
              </c:ext>
            </c:extLst>
          </c:dPt>
          <c:dLbls>
            <c:dLbl>
              <c:idx val="2"/>
              <c:layout>
                <c:manualLayout>
                  <c:x val="-1.0371810627398175E-3"/>
                  <c:y val="3.995243458182073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2B7B-4FEF-9F91-48590661741D}"/>
                </c:ex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000"/>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'Pro Forma UG Parking'!$D$13:$L$13</c:f>
              <c:strCache>
                <c:ptCount val="8"/>
                <c:pt idx="0">
                  <c:v>Prototype 1
(Max FAR)</c:v>
                </c:pt>
                <c:pt idx="1">
                  <c:v>Prototype 2
(Max Height and Required Parking) </c:v>
                </c:pt>
                <c:pt idx="2">
                  <c:v>Prototype 3
(Max Building Type)</c:v>
                </c:pt>
                <c:pt idx="3">
                  <c:v>Prototype 4
(Max Height and Required Parking)</c:v>
                </c:pt>
                <c:pt idx="4">
                  <c:v>Prototype 5
(Max Building Type)</c:v>
                </c:pt>
                <c:pt idx="5">
                  <c:v>Prototype 6
(Height 35 feet)</c:v>
                </c:pt>
                <c:pt idx="6">
                  <c:v>9 - 35 feet</c:v>
                </c:pt>
                <c:pt idx="7">
                  <c:v>Prototype 8
(Height 45 feet)</c:v>
                </c:pt>
              </c:strCache>
            </c:strRef>
          </c:cat>
          <c:val>
            <c:numRef>
              <c:f>'Pro Forma UG Parking'!$D$61:$H$61</c:f>
              <c:numCache>
                <c:formatCode>0.00%</c:formatCode>
                <c:ptCount val="5"/>
                <c:pt idx="0">
                  <c:v>3.5454355793339609E-2</c:v>
                </c:pt>
                <c:pt idx="1">
                  <c:v>3.2128156299751139E-2</c:v>
                </c:pt>
                <c:pt idx="2">
                  <c:v>3.6590665068608988E-2</c:v>
                </c:pt>
                <c:pt idx="3">
                  <c:v>3.8042185065643414E-2</c:v>
                </c:pt>
                <c:pt idx="4">
                  <c:v>4.1194590470897831E-2</c:v>
                </c:pt>
              </c:numCache>
            </c:numRef>
          </c:val>
          <c:extLst xmlns:c16r2="http://schemas.microsoft.com/office/drawing/2015/06/chart">
            <c:ext xmlns:c16="http://schemas.microsoft.com/office/drawing/2014/chart" uri="{C3380CC4-5D6E-409C-BE32-E72D297353CC}">
              <c16:uniqueId val="{00000005-2B7B-4FEF-9F91-48590661741D}"/>
            </c:ext>
          </c:extLst>
        </c:ser>
        <c:dLbls>
          <c:showLegendKey val="0"/>
          <c:showVal val="0"/>
          <c:showCatName val="0"/>
          <c:showSerName val="0"/>
          <c:showPercent val="0"/>
          <c:showBubbleSize val="0"/>
        </c:dLbls>
        <c:gapWidth val="75"/>
        <c:axId val="347143024"/>
        <c:axId val="347144200"/>
      </c:barChart>
      <c:lineChart>
        <c:grouping val="standard"/>
        <c:varyColors val="0"/>
        <c:ser>
          <c:idx val="0"/>
          <c:order val="0"/>
          <c:tx>
            <c:strRef>
              <c:f>'Pro Forma UG Parking'!$B$62</c:f>
              <c:strCache>
                <c:ptCount val="1"/>
                <c:pt idx="0">
                  <c:v>Minimum Yield-on-cost Feasibility</c:v>
                </c:pt>
              </c:strCache>
            </c:strRef>
          </c:tx>
          <c:spPr>
            <a:ln w="41275" cap="flat">
              <a:solidFill>
                <a:schemeClr val="tx1"/>
              </a:solidFill>
              <a:prstDash val="sysDash"/>
            </a:ln>
          </c:spPr>
          <c:marker>
            <c:symbol val="none"/>
          </c:marker>
          <c:dLbls>
            <c:delete val="1"/>
          </c:dLbls>
          <c:cat>
            <c:strRef>
              <c:f>'Pro Forma UG Parking'!$D$13:$L$13</c:f>
              <c:strCache>
                <c:ptCount val="8"/>
                <c:pt idx="0">
                  <c:v>Prototype 1
(Max FAR)</c:v>
                </c:pt>
                <c:pt idx="1">
                  <c:v>Prototype 2
(Max Height and Required Parking) </c:v>
                </c:pt>
                <c:pt idx="2">
                  <c:v>Prototype 3
(Max Building Type)</c:v>
                </c:pt>
                <c:pt idx="3">
                  <c:v>Prototype 4
(Max Height and Required Parking)</c:v>
                </c:pt>
                <c:pt idx="4">
                  <c:v>Prototype 5
(Max Building Type)</c:v>
                </c:pt>
                <c:pt idx="5">
                  <c:v>Prototype 6
(Height 35 feet)</c:v>
                </c:pt>
                <c:pt idx="6">
                  <c:v>9 - 35 feet</c:v>
                </c:pt>
                <c:pt idx="7">
                  <c:v>Prototype 8
(Height 45 feet)</c:v>
                </c:pt>
              </c:strCache>
            </c:strRef>
          </c:cat>
          <c:val>
            <c:numRef>
              <c:f>'Pro Forma UG Parking'!$D$62:$H$62</c:f>
              <c:numCache>
                <c:formatCode>0.00%</c:formatCode>
                <c:ptCount val="5"/>
                <c:pt idx="0">
                  <c:v>5.5E-2</c:v>
                </c:pt>
                <c:pt idx="1">
                  <c:v>5.5E-2</c:v>
                </c:pt>
                <c:pt idx="2">
                  <c:v>5.5E-2</c:v>
                </c:pt>
                <c:pt idx="3">
                  <c:v>5.5E-2</c:v>
                </c:pt>
                <c:pt idx="4">
                  <c:v>5.5E-2</c:v>
                </c:pt>
              </c:numCache>
            </c:numRef>
          </c:val>
          <c:smooth val="0"/>
          <c:extLst xmlns:c16r2="http://schemas.microsoft.com/office/drawing/2015/06/chart">
            <c:ext xmlns:c16="http://schemas.microsoft.com/office/drawing/2014/chart" uri="{C3380CC4-5D6E-409C-BE32-E72D297353CC}">
              <c16:uniqueId val="{00000006-2B7B-4FEF-9F91-48590661741D}"/>
            </c:ext>
          </c:extLst>
        </c:ser>
        <c:dLbls>
          <c:showLegendKey val="0"/>
          <c:showVal val="1"/>
          <c:showCatName val="0"/>
          <c:showSerName val="0"/>
          <c:showPercent val="0"/>
          <c:showBubbleSize val="0"/>
        </c:dLbls>
        <c:marker val="1"/>
        <c:smooth val="0"/>
        <c:axId val="347143024"/>
        <c:axId val="347144200"/>
      </c:lineChart>
      <c:catAx>
        <c:axId val="347143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Franklin Gothic Book" panose="020B0503020102020204" pitchFamily="34" charset="0"/>
                <a:ea typeface="+mn-ea"/>
                <a:cs typeface="+mn-cs"/>
              </a:defRPr>
            </a:pPr>
            <a:endParaRPr lang="en-US"/>
          </a:p>
        </c:txPr>
        <c:crossAx val="347144200"/>
        <c:crosses val="autoZero"/>
        <c:auto val="1"/>
        <c:lblAlgn val="ctr"/>
        <c:lblOffset val="100"/>
        <c:noMultiLvlLbl val="0"/>
      </c:catAx>
      <c:valAx>
        <c:axId val="347144200"/>
        <c:scaling>
          <c:orientation val="minMax"/>
          <c:max val="6.5000000000000016E-2"/>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Franklin Gothic Book" panose="020B0503020102020204" pitchFamily="34" charset="0"/>
                <a:ea typeface="+mn-ea"/>
                <a:cs typeface="+mn-cs"/>
              </a:defRPr>
            </a:pPr>
            <a:endParaRPr lang="en-US"/>
          </a:p>
        </c:txPr>
        <c:crossAx val="347143024"/>
        <c:crosses val="autoZero"/>
        <c:crossBetween val="between"/>
      </c:valAx>
    </c:plotArea>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900">
          <a:latin typeface="Franklin Gothic Book" panose="020B0503020102020204" pitchFamily="34" charset="0"/>
        </a:defRPr>
      </a:pPr>
      <a:endParaRPr lang="en-US"/>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12</xdr:col>
      <xdr:colOff>45079</xdr:colOff>
      <xdr:row>15</xdr:row>
      <xdr:rowOff>21981</xdr:rowOff>
    </xdr:from>
    <xdr:to>
      <xdr:col>14</xdr:col>
      <xdr:colOff>54430</xdr:colOff>
      <xdr:row>27</xdr:row>
      <xdr:rowOff>51288</xdr:rowOff>
    </xdr:to>
    <xdr:graphicFrame macro="">
      <xdr:nvGraphicFramePr>
        <xdr:cNvPr id="2" name="Chart 1">
          <a:extLst>
            <a:ext uri="{FF2B5EF4-FFF2-40B4-BE49-F238E27FC236}">
              <a16:creationId xmlns="" xmlns:a16="http://schemas.microsoft.com/office/drawing/2014/main" id="{FA26877D-FD81-46F0-9270-E611140DC8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67236</xdr:colOff>
      <xdr:row>34</xdr:row>
      <xdr:rowOff>56029</xdr:rowOff>
    </xdr:from>
    <xdr:to>
      <xdr:col>6</xdr:col>
      <xdr:colOff>345702</xdr:colOff>
      <xdr:row>50</xdr:row>
      <xdr:rowOff>86106</xdr:rowOff>
    </xdr:to>
    <xdr:pic>
      <xdr:nvPicPr>
        <xdr:cNvPr id="2" name="Picture 1">
          <a:extLst>
            <a:ext uri="{FF2B5EF4-FFF2-40B4-BE49-F238E27FC236}">
              <a16:creationId xmlns="" xmlns:a16="http://schemas.microsoft.com/office/drawing/2014/main" id="{F8C95BB2-D09D-4AB2-9AE7-FC675846EC20}"/>
            </a:ext>
          </a:extLst>
        </xdr:cNvPr>
        <xdr:cNvPicPr>
          <a:picLocks noChangeAspect="1"/>
        </xdr:cNvPicPr>
      </xdr:nvPicPr>
      <xdr:blipFill>
        <a:blip xmlns:r="http://schemas.openxmlformats.org/officeDocument/2006/relationships" r:embed="rId1"/>
        <a:stretch>
          <a:fillRect/>
        </a:stretch>
      </xdr:blipFill>
      <xdr:spPr>
        <a:xfrm>
          <a:off x="406961" y="6177429"/>
          <a:ext cx="4574241" cy="3078077"/>
        </a:xfrm>
        <a:prstGeom prst="rect">
          <a:avLst/>
        </a:prstGeom>
      </xdr:spPr>
    </xdr:pic>
    <xdr:clientData/>
  </xdr:twoCellAnchor>
  <xdr:twoCellAnchor editAs="oneCell">
    <xdr:from>
      <xdr:col>19</xdr:col>
      <xdr:colOff>67235</xdr:colOff>
      <xdr:row>34</xdr:row>
      <xdr:rowOff>56029</xdr:rowOff>
    </xdr:from>
    <xdr:to>
      <xdr:col>25</xdr:col>
      <xdr:colOff>107202</xdr:colOff>
      <xdr:row>50</xdr:row>
      <xdr:rowOff>90285</xdr:rowOff>
    </xdr:to>
    <xdr:pic>
      <xdr:nvPicPr>
        <xdr:cNvPr id="3" name="Picture 2">
          <a:extLst>
            <a:ext uri="{FF2B5EF4-FFF2-40B4-BE49-F238E27FC236}">
              <a16:creationId xmlns="" xmlns:a16="http://schemas.microsoft.com/office/drawing/2014/main" id="{B4E3328B-A26D-4842-A992-D122873E7AFE}"/>
            </a:ext>
          </a:extLst>
        </xdr:cNvPr>
        <xdr:cNvPicPr>
          <a:picLocks noChangeAspect="1"/>
        </xdr:cNvPicPr>
      </xdr:nvPicPr>
      <xdr:blipFill>
        <a:blip xmlns:r="http://schemas.openxmlformats.org/officeDocument/2006/relationships" r:embed="rId2"/>
        <a:stretch>
          <a:fillRect/>
        </a:stretch>
      </xdr:blipFill>
      <xdr:spPr>
        <a:xfrm>
          <a:off x="6877610" y="6177429"/>
          <a:ext cx="4745317" cy="30822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10</xdr:col>
      <xdr:colOff>188258</xdr:colOff>
      <xdr:row>1</xdr:row>
      <xdr:rowOff>71718</xdr:rowOff>
    </xdr:from>
    <xdr:ext cx="5707529" cy="3895229"/>
    <xdr:pic>
      <xdr:nvPicPr>
        <xdr:cNvPr id="2" name="Picture 1">
          <a:extLst>
            <a:ext uri="{FF2B5EF4-FFF2-40B4-BE49-F238E27FC236}">
              <a16:creationId xmlns="" xmlns:a16="http://schemas.microsoft.com/office/drawing/2014/main" id="{C0DC6878-7B09-B747-AA0B-823180960391}"/>
            </a:ext>
          </a:extLst>
        </xdr:cNvPr>
        <xdr:cNvPicPr>
          <a:picLocks noChangeAspect="1"/>
        </xdr:cNvPicPr>
      </xdr:nvPicPr>
      <xdr:blipFill>
        <a:blip xmlns:r="http://schemas.openxmlformats.org/officeDocument/2006/relationships" r:embed="rId1"/>
        <a:stretch>
          <a:fillRect/>
        </a:stretch>
      </xdr:blipFill>
      <xdr:spPr>
        <a:xfrm>
          <a:off x="6919258" y="262218"/>
          <a:ext cx="5707529" cy="38952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84</xdr:row>
      <xdr:rowOff>0</xdr:rowOff>
    </xdr:from>
    <xdr:to>
      <xdr:col>8</xdr:col>
      <xdr:colOff>500062</xdr:colOff>
      <xdr:row>103</xdr:row>
      <xdr:rowOff>117475</xdr:rowOff>
    </xdr:to>
    <xdr:graphicFrame macro="">
      <xdr:nvGraphicFramePr>
        <xdr:cNvPr id="3" name="Chart 2">
          <a:extLst>
            <a:ext uri="{FF2B5EF4-FFF2-40B4-BE49-F238E27FC236}">
              <a16:creationId xmlns="" xmlns:a16="http://schemas.microsoft.com/office/drawing/2014/main" id="{4A07059B-3842-4257-9C6F-23BED4AD9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782411</xdr:colOff>
      <xdr:row>151</xdr:row>
      <xdr:rowOff>58964</xdr:rowOff>
    </xdr:from>
    <xdr:to>
      <xdr:col>12</xdr:col>
      <xdr:colOff>889000</xdr:colOff>
      <xdr:row>186</xdr:row>
      <xdr:rowOff>42333</xdr:rowOff>
    </xdr:to>
    <xdr:graphicFrame macro="">
      <xdr:nvGraphicFramePr>
        <xdr:cNvPr id="25" name="Chart 24">
          <a:extLst>
            <a:ext uri="{FF2B5EF4-FFF2-40B4-BE49-F238E27FC236}">
              <a16:creationId xmlns="" xmlns:a16="http://schemas.microsoft.com/office/drawing/2014/main" id="{683A62F0-37A6-42B0-A8F1-053CD8E8E4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2035970</xdr:colOff>
      <xdr:row>189</xdr:row>
      <xdr:rowOff>0</xdr:rowOff>
    </xdr:from>
    <xdr:to>
      <xdr:col>12</xdr:col>
      <xdr:colOff>238125</xdr:colOff>
      <xdr:row>223</xdr:row>
      <xdr:rowOff>142119</xdr:rowOff>
    </xdr:to>
    <xdr:graphicFrame macro="">
      <xdr:nvGraphicFramePr>
        <xdr:cNvPr id="32" name="Chart 31">
          <a:extLst>
            <a:ext uri="{FF2B5EF4-FFF2-40B4-BE49-F238E27FC236}">
              <a16:creationId xmlns="" xmlns:a16="http://schemas.microsoft.com/office/drawing/2014/main" id="{57BBF756-7366-456D-9469-64584B2737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264160</xdr:colOff>
      <xdr:row>79</xdr:row>
      <xdr:rowOff>127000</xdr:rowOff>
    </xdr:from>
    <xdr:to>
      <xdr:col>9</xdr:col>
      <xdr:colOff>325120</xdr:colOff>
      <xdr:row>104</xdr:row>
      <xdr:rowOff>50800</xdr:rowOff>
    </xdr:to>
    <xdr:graphicFrame macro="">
      <xdr:nvGraphicFramePr>
        <xdr:cNvPr id="10" name="Chart 9">
          <a:extLst>
            <a:ext uri="{FF2B5EF4-FFF2-40B4-BE49-F238E27FC236}">
              <a16:creationId xmlns="" xmlns:a16="http://schemas.microsoft.com/office/drawing/2014/main" id="{DA48ACBE-2D0F-FA4D-BB59-735E7C5BD7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106</xdr:row>
      <xdr:rowOff>0</xdr:rowOff>
    </xdr:from>
    <xdr:to>
      <xdr:col>9</xdr:col>
      <xdr:colOff>60960</xdr:colOff>
      <xdr:row>130</xdr:row>
      <xdr:rowOff>137160</xdr:rowOff>
    </xdr:to>
    <xdr:graphicFrame macro="">
      <xdr:nvGraphicFramePr>
        <xdr:cNvPr id="24" name="Chart 23">
          <a:extLst>
            <a:ext uri="{FF2B5EF4-FFF2-40B4-BE49-F238E27FC236}">
              <a16:creationId xmlns="" xmlns:a16="http://schemas.microsoft.com/office/drawing/2014/main" id="{46DD44CA-A212-9E45-AD93-4568F3608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0.05793</cdr:x>
      <cdr:y>0.01798</cdr:y>
    </cdr:from>
    <cdr:to>
      <cdr:x>0.97046</cdr:x>
      <cdr:y>0.20926</cdr:y>
    </cdr:to>
    <cdr:grpSp>
      <cdr:nvGrpSpPr>
        <cdr:cNvPr id="6" name="Group 5">
          <a:extLst xmlns:a="http://schemas.openxmlformats.org/drawingml/2006/main">
            <a:ext uri="{FF2B5EF4-FFF2-40B4-BE49-F238E27FC236}">
              <a16:creationId xmlns="" xmlns:a16="http://schemas.microsoft.com/office/drawing/2014/main" id="{B1E99AC4-85A8-4391-A364-61A5447F0783}"/>
            </a:ext>
          </a:extLst>
        </cdr:cNvPr>
        <cdr:cNvGrpSpPr/>
      </cdr:nvGrpSpPr>
      <cdr:grpSpPr>
        <a:xfrm xmlns:a="http://schemas.openxmlformats.org/drawingml/2006/main">
          <a:off x="593701" y="101822"/>
          <a:ext cx="9352152" cy="1083236"/>
          <a:chOff x="532392" y="104597"/>
          <a:chExt cx="8386392" cy="1112759"/>
        </a:xfrm>
      </cdr:grpSpPr>
      <cdr:sp macro="" textlink="">
        <cdr:nvSpPr>
          <cdr:cNvPr id="2" name="TextBox 21">
            <a:extLst xmlns:a="http://schemas.openxmlformats.org/drawingml/2006/main">
              <a:ext uri="{FF2B5EF4-FFF2-40B4-BE49-F238E27FC236}">
                <a16:creationId xmlns="" xmlns:a16="http://schemas.microsoft.com/office/drawing/2014/main" id="{CB8455D9-F9CD-42B1-B5F1-2F6756F811A0}"/>
              </a:ext>
            </a:extLst>
          </cdr:cNvPr>
          <cdr:cNvSpPr txBox="1"/>
        </cdr:nvSpPr>
        <cdr:spPr>
          <a:xfrm xmlns:a="http://schemas.openxmlformats.org/drawingml/2006/main">
            <a:off x="532392" y="1021425"/>
            <a:ext cx="1865164" cy="19593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050" b="0">
                <a:latin typeface="Franklin Gothic Book" panose="020B0503020102020204" pitchFamily="34" charset="0"/>
              </a:rPr>
              <a:t>Minimum Feasibility</a:t>
            </a:r>
            <a:r>
              <a:rPr lang="en-US" sz="1050" b="0" baseline="0">
                <a:latin typeface="Franklin Gothic Book" panose="020B0503020102020204" pitchFamily="34" charset="0"/>
              </a:rPr>
              <a:t> </a:t>
            </a:r>
            <a:r>
              <a:rPr lang="en-US" sz="1050" b="0">
                <a:latin typeface="Franklin Gothic Book" panose="020B0503020102020204" pitchFamily="34" charset="0"/>
              </a:rPr>
              <a:t>(5.5%)</a:t>
            </a:r>
          </a:p>
        </cdr:txBody>
      </cdr:sp>
      <cdr:grpSp>
        <cdr:nvGrpSpPr>
          <cdr:cNvPr id="5" name="Group 4">
            <a:extLst xmlns:a="http://schemas.openxmlformats.org/drawingml/2006/main">
              <a:ext uri="{FF2B5EF4-FFF2-40B4-BE49-F238E27FC236}">
                <a16:creationId xmlns="" xmlns:a16="http://schemas.microsoft.com/office/drawing/2014/main" id="{ECB4F334-C9F5-4C28-9535-765F1BE5A950}"/>
              </a:ext>
            </a:extLst>
          </cdr:cNvPr>
          <cdr:cNvGrpSpPr/>
        </cdr:nvGrpSpPr>
        <cdr:grpSpPr>
          <a:xfrm xmlns:a="http://schemas.openxmlformats.org/drawingml/2006/main">
            <a:off x="1316230" y="104597"/>
            <a:ext cx="7602554" cy="300762"/>
            <a:chOff x="1316230" y="104597"/>
            <a:chExt cx="7602554" cy="300762"/>
          </a:xfrm>
        </cdr:grpSpPr>
        <cdr:sp macro="" textlink="">
          <cdr:nvSpPr>
            <cdr:cNvPr id="3" name="TextBox 21">
              <a:extLst xmlns:a="http://schemas.openxmlformats.org/drawingml/2006/main">
                <a:ext uri="{FF2B5EF4-FFF2-40B4-BE49-F238E27FC236}">
                  <a16:creationId xmlns="" xmlns:a16="http://schemas.microsoft.com/office/drawing/2014/main" id="{759FAA6C-53B4-4704-8912-9F28E8BC377D}"/>
                </a:ext>
              </a:extLst>
            </cdr:cNvPr>
            <cdr:cNvSpPr txBox="1"/>
          </cdr:nvSpPr>
          <cdr:spPr>
            <a:xfrm xmlns:a="http://schemas.openxmlformats.org/drawingml/2006/main">
              <a:off x="1316230" y="104597"/>
              <a:ext cx="2695688" cy="29075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0">
                  <a:latin typeface="Franklin Gothic Book" panose="020B0503020102020204" pitchFamily="34" charset="0"/>
                </a:rPr>
                <a:t>Mixed-Use</a:t>
              </a:r>
              <a:r>
                <a:rPr lang="en-US" sz="1400" b="0" baseline="0">
                  <a:latin typeface="Franklin Gothic Book" panose="020B0503020102020204" pitchFamily="34" charset="0"/>
                </a:rPr>
                <a:t> Large Site</a:t>
              </a:r>
              <a:endParaRPr lang="en-US" sz="1400" b="0">
                <a:latin typeface="Franklin Gothic Book" panose="020B0503020102020204" pitchFamily="34" charset="0"/>
              </a:endParaRPr>
            </a:p>
          </cdr:txBody>
        </cdr:sp>
        <cdr:sp macro="" textlink="">
          <cdr:nvSpPr>
            <cdr:cNvPr id="4" name="TextBox 21">
              <a:extLst xmlns:a="http://schemas.openxmlformats.org/drawingml/2006/main">
                <a:ext uri="{FF2B5EF4-FFF2-40B4-BE49-F238E27FC236}">
                  <a16:creationId xmlns="" xmlns:a16="http://schemas.microsoft.com/office/drawing/2014/main" id="{C0C03248-4BBE-4A67-BFAA-1550172AF856}"/>
                </a:ext>
              </a:extLst>
            </cdr:cNvPr>
            <cdr:cNvSpPr txBox="1"/>
          </cdr:nvSpPr>
          <cdr:spPr>
            <a:xfrm xmlns:a="http://schemas.openxmlformats.org/drawingml/2006/main">
              <a:off x="6196352" y="106459"/>
              <a:ext cx="2722432" cy="298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0">
                  <a:latin typeface="Franklin Gothic Book" panose="020B0503020102020204" pitchFamily="34" charset="0"/>
                </a:rPr>
                <a:t>Residential-Only </a:t>
              </a:r>
              <a:r>
                <a:rPr lang="en-US" sz="1400" b="0" baseline="0">
                  <a:latin typeface="Franklin Gothic Book" panose="020B0503020102020204" pitchFamily="34" charset="0"/>
                </a:rPr>
                <a:t>Large Site</a:t>
              </a:r>
              <a:endParaRPr lang="en-US" sz="1400" b="0">
                <a:latin typeface="Franklin Gothic Book" panose="020B0503020102020204" pitchFamily="34" charset="0"/>
              </a:endParaRPr>
            </a:p>
          </cdr:txBody>
        </cdr:sp>
      </cdr:grpSp>
    </cdr:grpSp>
  </cdr:relSizeAnchor>
</c:userShapes>
</file>

<file path=xl/drawings/drawing5.xml><?xml version="1.0" encoding="utf-8"?>
<c:userShapes xmlns:c="http://schemas.openxmlformats.org/drawingml/2006/chart">
  <cdr:relSizeAnchor xmlns:cdr="http://schemas.openxmlformats.org/drawingml/2006/chartDrawing">
    <cdr:from>
      <cdr:x>0.06062</cdr:x>
      <cdr:y>0.00215</cdr:y>
    </cdr:from>
    <cdr:to>
      <cdr:x>0.9715</cdr:x>
      <cdr:y>0.23622</cdr:y>
    </cdr:to>
    <cdr:grpSp>
      <cdr:nvGrpSpPr>
        <cdr:cNvPr id="3" name="Group 2">
          <a:extLst xmlns:a="http://schemas.openxmlformats.org/drawingml/2006/main">
            <a:ext uri="{FF2B5EF4-FFF2-40B4-BE49-F238E27FC236}">
              <a16:creationId xmlns="" xmlns:a16="http://schemas.microsoft.com/office/drawing/2014/main" id="{D872A45D-B69B-428F-878D-4D4FE6AE7B1A}"/>
            </a:ext>
          </a:extLst>
        </cdr:cNvPr>
        <cdr:cNvGrpSpPr/>
      </cdr:nvGrpSpPr>
      <cdr:grpSpPr>
        <a:xfrm xmlns:a="http://schemas.openxmlformats.org/drawingml/2006/main">
          <a:off x="505823" y="12175"/>
          <a:ext cx="7600531" cy="1325477"/>
          <a:chOff x="441667" y="12484"/>
          <a:chExt cx="6636536" cy="1360585"/>
        </a:xfrm>
      </cdr:grpSpPr>
      <cdr:sp macro="" textlink="">
        <cdr:nvSpPr>
          <cdr:cNvPr id="2" name="TextBox 21">
            <a:extLst xmlns:a="http://schemas.openxmlformats.org/drawingml/2006/main">
              <a:ext uri="{FF2B5EF4-FFF2-40B4-BE49-F238E27FC236}">
                <a16:creationId xmlns="" xmlns:a16="http://schemas.microsoft.com/office/drawing/2014/main" id="{CB8455D9-F9CD-42B1-B5F1-2F6756F811A0}"/>
              </a:ext>
            </a:extLst>
          </cdr:cNvPr>
          <cdr:cNvSpPr txBox="1"/>
        </cdr:nvSpPr>
        <cdr:spPr>
          <a:xfrm xmlns:a="http://schemas.openxmlformats.org/drawingml/2006/main">
            <a:off x="441667" y="1020588"/>
            <a:ext cx="1947284" cy="35248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050" b="0">
                <a:latin typeface="Franklin Gothic Book" panose="020B0503020102020204" pitchFamily="34" charset="0"/>
              </a:rPr>
              <a:t>Minimum Feasibility</a:t>
            </a:r>
            <a:r>
              <a:rPr lang="en-US" sz="1050" b="0" baseline="0">
                <a:latin typeface="Franklin Gothic Book" panose="020B0503020102020204" pitchFamily="34" charset="0"/>
              </a:rPr>
              <a:t> </a:t>
            </a:r>
            <a:r>
              <a:rPr lang="en-US" sz="1050" b="0">
                <a:latin typeface="Franklin Gothic Book" panose="020B0503020102020204" pitchFamily="34" charset="0"/>
              </a:rPr>
              <a:t>(5.5%)</a:t>
            </a:r>
          </a:p>
        </cdr:txBody>
      </cdr:sp>
      <cdr:sp macro="" textlink="">
        <cdr:nvSpPr>
          <cdr:cNvPr id="5" name="TextBox 21">
            <a:extLst xmlns:a="http://schemas.openxmlformats.org/drawingml/2006/main">
              <a:ext uri="{FF2B5EF4-FFF2-40B4-BE49-F238E27FC236}">
                <a16:creationId xmlns="" xmlns:a16="http://schemas.microsoft.com/office/drawing/2014/main" id="{C95EC98D-6C97-4173-BD7A-1EB09AE781D6}"/>
              </a:ext>
            </a:extLst>
          </cdr:cNvPr>
          <cdr:cNvSpPr txBox="1"/>
        </cdr:nvSpPr>
        <cdr:spPr>
          <a:xfrm xmlns:a="http://schemas.openxmlformats.org/drawingml/2006/main">
            <a:off x="1230287" y="88828"/>
            <a:ext cx="2992460" cy="39113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0">
                <a:latin typeface="Franklin Gothic Book" panose="020B0503020102020204" pitchFamily="34" charset="0"/>
              </a:rPr>
              <a:t>Mixed-Use</a:t>
            </a:r>
            <a:r>
              <a:rPr lang="en-US" sz="1400" b="0" baseline="0">
                <a:latin typeface="Franklin Gothic Book" panose="020B0503020102020204" pitchFamily="34" charset="0"/>
              </a:rPr>
              <a:t> Small Site</a:t>
            </a:r>
            <a:endParaRPr lang="en-US" sz="1400" b="0">
              <a:latin typeface="Franklin Gothic Book" panose="020B0503020102020204" pitchFamily="34" charset="0"/>
            </a:endParaRPr>
          </a:p>
        </cdr:txBody>
      </cdr:sp>
      <cdr:sp macro="" textlink="">
        <cdr:nvSpPr>
          <cdr:cNvPr id="6" name="TextBox 21">
            <a:extLst xmlns:a="http://schemas.openxmlformats.org/drawingml/2006/main">
              <a:ext uri="{FF2B5EF4-FFF2-40B4-BE49-F238E27FC236}">
                <a16:creationId xmlns="" xmlns:a16="http://schemas.microsoft.com/office/drawing/2014/main" id="{2179C4DB-5562-480E-856B-8356AFD82C2A}"/>
              </a:ext>
            </a:extLst>
          </cdr:cNvPr>
          <cdr:cNvSpPr txBox="1"/>
        </cdr:nvSpPr>
        <cdr:spPr>
          <a:xfrm xmlns:a="http://schemas.openxmlformats.org/drawingml/2006/main">
            <a:off x="4696757" y="12484"/>
            <a:ext cx="2381446" cy="50221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0" baseline="0">
                <a:latin typeface="Franklin Gothic Book" panose="020B0503020102020204" pitchFamily="34" charset="0"/>
              </a:rPr>
              <a:t>Residential-Only </a:t>
            </a:r>
          </a:p>
          <a:p xmlns:a="http://schemas.openxmlformats.org/drawingml/2006/main">
            <a:pPr algn="ctr"/>
            <a:r>
              <a:rPr lang="en-US" sz="1400" b="0" baseline="0">
                <a:latin typeface="Franklin Gothic Book" panose="020B0503020102020204" pitchFamily="34" charset="0"/>
              </a:rPr>
              <a:t>Small Site</a:t>
            </a:r>
            <a:endParaRPr lang="en-US" sz="1400" b="0">
              <a:latin typeface="Franklin Gothic Book" panose="020B0503020102020204" pitchFamily="34" charset="0"/>
            </a:endParaRPr>
          </a:p>
        </cdr:txBody>
      </cdr:sp>
    </cdr:grpSp>
  </cdr:relSizeAnchor>
</c:userShapes>
</file>

<file path=xl/drawings/drawing6.xml><?xml version="1.0" encoding="utf-8"?>
<xdr:wsDr xmlns:xdr="http://schemas.openxmlformats.org/drawingml/2006/spreadsheetDrawing" xmlns:a="http://schemas.openxmlformats.org/drawingml/2006/main">
  <xdr:twoCellAnchor>
    <xdr:from>
      <xdr:col>1</xdr:col>
      <xdr:colOff>321473</xdr:colOff>
      <xdr:row>112</xdr:row>
      <xdr:rowOff>130968</xdr:rowOff>
    </xdr:from>
    <xdr:to>
      <xdr:col>6</xdr:col>
      <xdr:colOff>940593</xdr:colOff>
      <xdr:row>144</xdr:row>
      <xdr:rowOff>130968</xdr:rowOff>
    </xdr:to>
    <xdr:graphicFrame macro="">
      <xdr:nvGraphicFramePr>
        <xdr:cNvPr id="2" name="Chart 1">
          <a:extLst>
            <a:ext uri="{FF2B5EF4-FFF2-40B4-BE49-F238E27FC236}">
              <a16:creationId xmlns="" xmlns:a16="http://schemas.microsoft.com/office/drawing/2014/main" id="{C535FDA6-34D7-4995-809D-4E3CF9E900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478145</xdr:colOff>
      <xdr:row>79</xdr:row>
      <xdr:rowOff>6933</xdr:rowOff>
    </xdr:from>
    <xdr:to>
      <xdr:col>13</xdr:col>
      <xdr:colOff>333374</xdr:colOff>
      <xdr:row>109</xdr:row>
      <xdr:rowOff>149002</xdr:rowOff>
    </xdr:to>
    <xdr:grpSp>
      <xdr:nvGrpSpPr>
        <xdr:cNvPr id="3" name="Group 2">
          <a:extLst>
            <a:ext uri="{FF2B5EF4-FFF2-40B4-BE49-F238E27FC236}">
              <a16:creationId xmlns="" xmlns:a16="http://schemas.microsoft.com/office/drawing/2014/main" id="{D7CDA6D2-52EB-44CD-8527-8F9E59D90ED2}"/>
            </a:ext>
          </a:extLst>
        </xdr:cNvPr>
        <xdr:cNvGrpSpPr/>
      </xdr:nvGrpSpPr>
      <xdr:grpSpPr>
        <a:xfrm>
          <a:off x="592445" y="13634033"/>
          <a:ext cx="9812029" cy="4790269"/>
          <a:chOff x="600609" y="13549442"/>
          <a:chExt cx="9109020" cy="5118881"/>
        </a:xfrm>
      </xdr:grpSpPr>
      <xdr:graphicFrame macro="">
        <xdr:nvGraphicFramePr>
          <xdr:cNvPr id="4" name="Chart 3">
            <a:extLst>
              <a:ext uri="{FF2B5EF4-FFF2-40B4-BE49-F238E27FC236}">
                <a16:creationId xmlns="" xmlns:a16="http://schemas.microsoft.com/office/drawing/2014/main" id="{327EACE8-4732-4F0A-B63D-54CEC42F9545}"/>
              </a:ext>
            </a:extLst>
          </xdr:cNvPr>
          <xdr:cNvGraphicFramePr/>
        </xdr:nvGraphicFramePr>
        <xdr:xfrm>
          <a:off x="600609" y="13549442"/>
          <a:ext cx="9109020" cy="5118881"/>
        </xdr:xfrm>
        <a:graphic>
          <a:graphicData uri="http://schemas.openxmlformats.org/drawingml/2006/chart">
            <c:chart xmlns:c="http://schemas.openxmlformats.org/drawingml/2006/chart" xmlns:r="http://schemas.openxmlformats.org/officeDocument/2006/relationships" r:id="rId2"/>
          </a:graphicData>
        </a:graphic>
      </xdr:graphicFrame>
      <xdr:sp macro="" textlink="$D$73">
        <xdr:nvSpPr>
          <xdr:cNvPr id="5" name="TextBox 4">
            <a:extLst>
              <a:ext uri="{FF2B5EF4-FFF2-40B4-BE49-F238E27FC236}">
                <a16:creationId xmlns="" xmlns:a16="http://schemas.microsoft.com/office/drawing/2014/main" id="{3DEDAF2E-9983-4737-9AD6-46AE2081AB8A}"/>
              </a:ext>
            </a:extLst>
          </xdr:cNvPr>
          <xdr:cNvSpPr txBox="1"/>
        </xdr:nvSpPr>
        <xdr:spPr>
          <a:xfrm>
            <a:off x="1509148" y="14693203"/>
            <a:ext cx="893189" cy="27978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4FA6958E-9C63-41B7-9184-9747A06BDB61}" type="TxLink">
              <a:rPr lang="en-US" sz="1050" b="1" i="0" u="none" strike="noStrike">
                <a:solidFill>
                  <a:srgbClr val="000000"/>
                </a:solidFill>
                <a:latin typeface="Franklin Gothic Book"/>
              </a:rPr>
              <a:pPr algn="ctr"/>
              <a:t>$504,000</a:t>
            </a:fld>
            <a:endParaRPr lang="en-US" sz="1600" b="1">
              <a:latin typeface="Franklin Gothic Book" panose="020B0503020102020204" pitchFamily="34" charset="0"/>
            </a:endParaRPr>
          </a:p>
        </xdr:txBody>
      </xdr:sp>
      <xdr:sp macro="" textlink="$E$73">
        <xdr:nvSpPr>
          <xdr:cNvPr id="6" name="TextBox 5">
            <a:extLst>
              <a:ext uri="{FF2B5EF4-FFF2-40B4-BE49-F238E27FC236}">
                <a16:creationId xmlns="" xmlns:a16="http://schemas.microsoft.com/office/drawing/2014/main" id="{B448C736-B7A5-4868-AB00-053B176FA328}"/>
              </a:ext>
            </a:extLst>
          </xdr:cNvPr>
          <xdr:cNvSpPr txBox="1"/>
        </xdr:nvSpPr>
        <xdr:spPr>
          <a:xfrm>
            <a:off x="2889378" y="14439257"/>
            <a:ext cx="921808" cy="20103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C35EEB71-EFB0-4496-9992-C6409E36F955}" type="TxLink">
              <a:rPr lang="en-US" sz="1050" b="1" i="0" u="none" strike="noStrike">
                <a:solidFill>
                  <a:srgbClr val="000000"/>
                </a:solidFill>
                <a:latin typeface="Franklin Gothic Book"/>
              </a:rPr>
              <a:pPr algn="ctr"/>
              <a:t>$556,000</a:t>
            </a:fld>
            <a:endParaRPr lang="en-US" sz="1600" b="1">
              <a:latin typeface="Franklin Gothic Book" panose="020B0503020102020204" pitchFamily="34" charset="0"/>
            </a:endParaRPr>
          </a:p>
        </xdr:txBody>
      </xdr:sp>
      <xdr:sp macro="" textlink="$F$73">
        <xdr:nvSpPr>
          <xdr:cNvPr id="7" name="TextBox 6">
            <a:extLst>
              <a:ext uri="{FF2B5EF4-FFF2-40B4-BE49-F238E27FC236}">
                <a16:creationId xmlns="" xmlns:a16="http://schemas.microsoft.com/office/drawing/2014/main" id="{EFBB363D-D234-4BAC-A6A8-93B7ADE87272}"/>
              </a:ext>
            </a:extLst>
          </xdr:cNvPr>
          <xdr:cNvSpPr txBox="1"/>
        </xdr:nvSpPr>
        <xdr:spPr>
          <a:xfrm>
            <a:off x="4211226" y="14825634"/>
            <a:ext cx="932988" cy="24767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55A3460-4C7F-4CA0-BB72-206D56706542}" type="TxLink">
              <a:rPr lang="en-US" sz="1050" b="1" i="0" u="none" strike="noStrike">
                <a:solidFill>
                  <a:srgbClr val="000000"/>
                </a:solidFill>
                <a:latin typeface="Franklin Gothic Book"/>
              </a:rPr>
              <a:pPr algn="ctr"/>
              <a:t>$488,000</a:t>
            </a:fld>
            <a:endParaRPr lang="en-US" sz="1600" b="1">
              <a:latin typeface="Franklin Gothic Book" panose="020B0503020102020204" pitchFamily="34" charset="0"/>
            </a:endParaRPr>
          </a:p>
        </xdr:txBody>
      </xdr:sp>
    </xdr:grpSp>
    <xdr:clientData/>
  </xdr:twoCellAnchor>
  <xdr:twoCellAnchor>
    <xdr:from>
      <xdr:col>6</xdr:col>
      <xdr:colOff>563030</xdr:colOff>
      <xdr:row>87</xdr:row>
      <xdr:rowOff>15404</xdr:rowOff>
    </xdr:from>
    <xdr:to>
      <xdr:col>7</xdr:col>
      <xdr:colOff>613532</xdr:colOff>
      <xdr:row>88</xdr:row>
      <xdr:rowOff>63316</xdr:rowOff>
    </xdr:to>
    <xdr:sp macro="" textlink="$G$73">
      <xdr:nvSpPr>
        <xdr:cNvPr id="8" name="TextBox 7">
          <a:extLst>
            <a:ext uri="{FF2B5EF4-FFF2-40B4-BE49-F238E27FC236}">
              <a16:creationId xmlns="" xmlns:a16="http://schemas.microsoft.com/office/drawing/2014/main" id="{30D337ED-4069-4A91-9CD5-9ABF7E18B9B4}"/>
            </a:ext>
          </a:extLst>
        </xdr:cNvPr>
        <xdr:cNvSpPr txBox="1"/>
      </xdr:nvSpPr>
      <xdr:spPr>
        <a:xfrm>
          <a:off x="6781494" y="15609190"/>
          <a:ext cx="1016609" cy="21119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04867EEB-D469-4319-B8D5-CA5327818318}" type="TxLink">
            <a:rPr lang="en-US" sz="1100" b="1" i="0" u="none" strike="noStrike">
              <a:solidFill>
                <a:srgbClr val="000000"/>
              </a:solidFill>
              <a:latin typeface="Franklin Gothic Book"/>
              <a:cs typeface="Arial"/>
            </a:rPr>
            <a:pPr algn="ctr"/>
            <a:t>$469,000</a:t>
          </a:fld>
          <a:endParaRPr lang="en-US" sz="1400" b="1">
            <a:latin typeface="Franklin Gothic Book" panose="020B0503020102020204" pitchFamily="34" charset="0"/>
          </a:endParaRPr>
        </a:p>
      </xdr:txBody>
    </xdr:sp>
    <xdr:clientData/>
  </xdr:twoCellAnchor>
  <xdr:twoCellAnchor>
    <xdr:from>
      <xdr:col>8</xdr:col>
      <xdr:colOff>51594</xdr:colOff>
      <xdr:row>88</xdr:row>
      <xdr:rowOff>77906</xdr:rowOff>
    </xdr:from>
    <xdr:to>
      <xdr:col>8</xdr:col>
      <xdr:colOff>855550</xdr:colOff>
      <xdr:row>89</xdr:row>
      <xdr:rowOff>134371</xdr:rowOff>
    </xdr:to>
    <xdr:sp macro="" textlink="$H$73">
      <xdr:nvSpPr>
        <xdr:cNvPr id="9" name="TextBox 8">
          <a:extLst>
            <a:ext uri="{FF2B5EF4-FFF2-40B4-BE49-F238E27FC236}">
              <a16:creationId xmlns="" xmlns:a16="http://schemas.microsoft.com/office/drawing/2014/main" id="{EAFB4104-5C18-4E48-8424-94238C8BE752}"/>
            </a:ext>
          </a:extLst>
        </xdr:cNvPr>
        <xdr:cNvSpPr txBox="1"/>
      </xdr:nvSpPr>
      <xdr:spPr>
        <a:xfrm>
          <a:off x="8202273" y="15834977"/>
          <a:ext cx="803956" cy="21975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6B59290-F13C-4205-85AE-1B0D267410DF}" type="TxLink">
            <a:rPr lang="en-US" sz="1100" b="1" i="0" u="none" strike="noStrike">
              <a:solidFill>
                <a:srgbClr val="000000"/>
              </a:solidFill>
              <a:latin typeface="Franklin Gothic Book"/>
              <a:cs typeface="Arial"/>
            </a:rPr>
            <a:pPr algn="ctr"/>
            <a:t>$433,000</a:t>
          </a:fld>
          <a:endParaRPr lang="en-US" sz="1400" b="1">
            <a:latin typeface="Franklin Gothic Book" panose="020B0503020102020204" pitchFamily="34" charset="0"/>
          </a:endParaRPr>
        </a:p>
      </xdr:txBody>
    </xdr:sp>
    <xdr:clientData/>
  </xdr:twoCellAnchor>
  <xdr:twoCellAnchor>
    <xdr:from>
      <xdr:col>1</xdr:col>
      <xdr:colOff>1378191</xdr:colOff>
      <xdr:row>120</xdr:row>
      <xdr:rowOff>2799</xdr:rowOff>
    </xdr:from>
    <xdr:to>
      <xdr:col>2</xdr:col>
      <xdr:colOff>51234</xdr:colOff>
      <xdr:row>121</xdr:row>
      <xdr:rowOff>70302</xdr:rowOff>
    </xdr:to>
    <xdr:sp macro="" textlink="$I$73">
      <xdr:nvSpPr>
        <xdr:cNvPr id="10" name="TextBox 9">
          <a:extLst>
            <a:ext uri="{FF2B5EF4-FFF2-40B4-BE49-F238E27FC236}">
              <a16:creationId xmlns="" xmlns:a16="http://schemas.microsoft.com/office/drawing/2014/main" id="{9A02735C-8AE4-4463-ACDB-1073B96077C0}"/>
            </a:ext>
          </a:extLst>
        </xdr:cNvPr>
        <xdr:cNvSpPr txBox="1"/>
      </xdr:nvSpPr>
      <xdr:spPr>
        <a:xfrm>
          <a:off x="1505191" y="20449799"/>
          <a:ext cx="1064876" cy="22625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A8F7B77D-9190-4C34-8EAD-C3D94DB28689}" type="TxLink">
            <a:rPr lang="en-US" sz="1100" b="1" i="0" u="none" strike="noStrike">
              <a:solidFill>
                <a:srgbClr val="000000"/>
              </a:solidFill>
              <a:latin typeface="Franklin Gothic Book"/>
              <a:cs typeface="Arial"/>
            </a:rPr>
            <a:pPr algn="ctr"/>
            <a:t>$582,000</a:t>
          </a:fld>
          <a:endParaRPr lang="en-US" sz="1400" b="1">
            <a:latin typeface="Franklin Gothic Book" panose="020B0503020102020204" pitchFamily="34" charset="0"/>
          </a:endParaRPr>
        </a:p>
      </xdr:txBody>
    </xdr:sp>
    <xdr:clientData/>
  </xdr:twoCellAnchor>
  <xdr:twoCellAnchor>
    <xdr:from>
      <xdr:col>3</xdr:col>
      <xdr:colOff>360210</xdr:colOff>
      <xdr:row>124</xdr:row>
      <xdr:rowOff>81459</xdr:rowOff>
    </xdr:from>
    <xdr:to>
      <xdr:col>4</xdr:col>
      <xdr:colOff>365502</xdr:colOff>
      <xdr:row>125</xdr:row>
      <xdr:rowOff>138148</xdr:rowOff>
    </xdr:to>
    <xdr:sp macro="" textlink="$N$73">
      <xdr:nvSpPr>
        <xdr:cNvPr id="11" name="TextBox 10">
          <a:extLst>
            <a:ext uri="{FF2B5EF4-FFF2-40B4-BE49-F238E27FC236}">
              <a16:creationId xmlns="" xmlns:a16="http://schemas.microsoft.com/office/drawing/2014/main" id="{8EA9759E-3A3B-41CA-BE89-CD8949EBBC10}"/>
            </a:ext>
          </a:extLst>
        </xdr:cNvPr>
        <xdr:cNvSpPr txBox="1"/>
      </xdr:nvSpPr>
      <xdr:spPr>
        <a:xfrm>
          <a:off x="3418793" y="21163459"/>
          <a:ext cx="968376" cy="2154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9AC5641-C582-4798-9BA8-B724175A44C1}" type="TxLink">
            <a:rPr lang="en-US" sz="1100" b="1" i="0" u="none" strike="noStrike">
              <a:solidFill>
                <a:srgbClr val="000000"/>
              </a:solidFill>
              <a:latin typeface="Franklin Gothic Book"/>
              <a:cs typeface="Arial"/>
            </a:rPr>
            <a:pPr algn="ctr"/>
            <a:t>$435,000</a:t>
          </a:fld>
          <a:endParaRPr lang="en-US" sz="1400" b="1">
            <a:latin typeface="Franklin Gothic Book" panose="020B0503020102020204" pitchFamily="34" charset="0"/>
          </a:endParaRPr>
        </a:p>
      </xdr:txBody>
    </xdr:sp>
    <xdr:clientData/>
  </xdr:twoCellAnchor>
  <xdr:twoCellAnchor>
    <xdr:from>
      <xdr:col>5</xdr:col>
      <xdr:colOff>430811</xdr:colOff>
      <xdr:row>125</xdr:row>
      <xdr:rowOff>5182</xdr:rowOff>
    </xdr:from>
    <xdr:to>
      <xdr:col>6</xdr:col>
      <xdr:colOff>296334</xdr:colOff>
      <xdr:row>126</xdr:row>
      <xdr:rowOff>110029</xdr:rowOff>
    </xdr:to>
    <xdr:sp macro="" textlink="$L$73">
      <xdr:nvSpPr>
        <xdr:cNvPr id="12" name="TextBox 11">
          <a:extLst>
            <a:ext uri="{FF2B5EF4-FFF2-40B4-BE49-F238E27FC236}">
              <a16:creationId xmlns="" xmlns:a16="http://schemas.microsoft.com/office/drawing/2014/main" id="{2D1BE1F9-3FAE-40F9-8E0E-C6529A9F43A2}"/>
            </a:ext>
          </a:extLst>
        </xdr:cNvPr>
        <xdr:cNvSpPr txBox="1"/>
      </xdr:nvSpPr>
      <xdr:spPr>
        <a:xfrm>
          <a:off x="5415561" y="21245932"/>
          <a:ext cx="828606" cy="26359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5D11177F-ADB7-441F-B33E-8FF61C8BCBFD}" type="TxLink">
            <a:rPr lang="en-US" sz="1100" b="1" i="0" u="none" strike="noStrike">
              <a:solidFill>
                <a:srgbClr val="000000"/>
              </a:solidFill>
              <a:latin typeface="Franklin Gothic Book"/>
              <a:cs typeface="Arial"/>
            </a:rPr>
            <a:pPr algn="ctr"/>
            <a:t>$453,000</a:t>
          </a:fld>
          <a:endParaRPr lang="en-US" sz="1400" b="1">
            <a:latin typeface="Franklin Gothic Book" panose="020B0503020102020204" pitchFamily="34" charset="0"/>
          </a:endParaRPr>
        </a:p>
      </xdr:txBody>
    </xdr:sp>
    <xdr:clientData/>
  </xdr:twoCellAnchor>
  <xdr:twoCellAnchor>
    <xdr:from>
      <xdr:col>1</xdr:col>
      <xdr:colOff>782411</xdr:colOff>
      <xdr:row>152</xdr:row>
      <xdr:rowOff>58964</xdr:rowOff>
    </xdr:from>
    <xdr:to>
      <xdr:col>13</xdr:col>
      <xdr:colOff>889000</xdr:colOff>
      <xdr:row>187</xdr:row>
      <xdr:rowOff>42333</xdr:rowOff>
    </xdr:to>
    <xdr:graphicFrame macro="">
      <xdr:nvGraphicFramePr>
        <xdr:cNvPr id="13" name="Chart 12">
          <a:extLst>
            <a:ext uri="{FF2B5EF4-FFF2-40B4-BE49-F238E27FC236}">
              <a16:creationId xmlns="" xmlns:a16="http://schemas.microsoft.com/office/drawing/2014/main" id="{11F4B8C4-DE12-435A-94A5-9452AE4D0D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2119311</xdr:colOff>
      <xdr:row>79</xdr:row>
      <xdr:rowOff>54558</xdr:rowOff>
    </xdr:from>
    <xdr:to>
      <xdr:col>4</xdr:col>
      <xdr:colOff>306309</xdr:colOff>
      <xdr:row>81</xdr:row>
      <xdr:rowOff>11938</xdr:rowOff>
    </xdr:to>
    <xdr:sp macro="" textlink="">
      <xdr:nvSpPr>
        <xdr:cNvPr id="14" name="TextBox 21">
          <a:extLst>
            <a:ext uri="{FF2B5EF4-FFF2-40B4-BE49-F238E27FC236}">
              <a16:creationId xmlns="" xmlns:a16="http://schemas.microsoft.com/office/drawing/2014/main" id="{A3EED059-6FE7-49A3-B3A2-A9DEE7B30699}"/>
            </a:ext>
          </a:extLst>
        </xdr:cNvPr>
        <xdr:cNvSpPr txBox="1"/>
      </xdr:nvSpPr>
      <xdr:spPr>
        <a:xfrm>
          <a:off x="2243136" y="13884858"/>
          <a:ext cx="2082723" cy="300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400" b="0">
              <a:latin typeface="Franklin Gothic Book" panose="020B0503020102020204" pitchFamily="34" charset="0"/>
            </a:rPr>
            <a:t>Mixed-Use</a:t>
          </a:r>
          <a:r>
            <a:rPr lang="en-US" sz="1400" b="0" baseline="0">
              <a:latin typeface="Franklin Gothic Book" panose="020B0503020102020204" pitchFamily="34" charset="0"/>
            </a:rPr>
            <a:t> Large Site</a:t>
          </a:r>
          <a:endParaRPr lang="en-US" sz="1400" b="0">
            <a:latin typeface="Franklin Gothic Book" panose="020B0503020102020204" pitchFamily="34" charset="0"/>
          </a:endParaRPr>
        </a:p>
      </xdr:txBody>
    </xdr:sp>
    <xdr:clientData/>
  </xdr:twoCellAnchor>
  <xdr:twoCellAnchor>
    <xdr:from>
      <xdr:col>6</xdr:col>
      <xdr:colOff>323361</xdr:colOff>
      <xdr:row>79</xdr:row>
      <xdr:rowOff>102183</xdr:rowOff>
    </xdr:from>
    <xdr:to>
      <xdr:col>13</xdr:col>
      <xdr:colOff>190497</xdr:colOff>
      <xdr:row>81</xdr:row>
      <xdr:rowOff>35717</xdr:rowOff>
    </xdr:to>
    <xdr:sp macro="" textlink="">
      <xdr:nvSpPr>
        <xdr:cNvPr id="15" name="TextBox 21">
          <a:extLst>
            <a:ext uri="{FF2B5EF4-FFF2-40B4-BE49-F238E27FC236}">
              <a16:creationId xmlns="" xmlns:a16="http://schemas.microsoft.com/office/drawing/2014/main" id="{36BDA473-8592-4257-B08A-9E525E1BADC1}"/>
            </a:ext>
          </a:extLst>
        </xdr:cNvPr>
        <xdr:cNvSpPr txBox="1"/>
      </xdr:nvSpPr>
      <xdr:spPr>
        <a:xfrm>
          <a:off x="6524136" y="13932483"/>
          <a:ext cx="2819886" cy="2764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400" b="0">
              <a:latin typeface="Franklin Gothic Book" panose="020B0503020102020204" pitchFamily="34" charset="0"/>
            </a:rPr>
            <a:t>Residential-Only </a:t>
          </a:r>
          <a:r>
            <a:rPr lang="en-US" sz="1400" b="0" baseline="0">
              <a:latin typeface="Franklin Gothic Book" panose="020B0503020102020204" pitchFamily="34" charset="0"/>
            </a:rPr>
            <a:t>Large Site</a:t>
          </a:r>
          <a:endParaRPr lang="en-US" sz="1400" b="0">
            <a:latin typeface="Franklin Gothic Book" panose="020B0503020102020204" pitchFamily="34" charset="0"/>
          </a:endParaRPr>
        </a:p>
      </xdr:txBody>
    </xdr:sp>
    <xdr:clientData/>
  </xdr:twoCellAnchor>
  <xdr:twoCellAnchor>
    <xdr:from>
      <xdr:col>4</xdr:col>
      <xdr:colOff>470958</xdr:colOff>
      <xdr:row>112</xdr:row>
      <xdr:rowOff>144196</xdr:rowOff>
    </xdr:from>
    <xdr:to>
      <xdr:col>7</xdr:col>
      <xdr:colOff>108478</xdr:colOff>
      <xdr:row>114</xdr:row>
      <xdr:rowOff>121355</xdr:rowOff>
    </xdr:to>
    <xdr:sp macro="" textlink="">
      <xdr:nvSpPr>
        <xdr:cNvPr id="16" name="TextBox 21">
          <a:extLst>
            <a:ext uri="{FF2B5EF4-FFF2-40B4-BE49-F238E27FC236}">
              <a16:creationId xmlns="" xmlns:a16="http://schemas.microsoft.com/office/drawing/2014/main" id="{9F1BC9F5-3E86-4D0F-A963-0007BD1DD80C}"/>
            </a:ext>
          </a:extLst>
        </xdr:cNvPr>
        <xdr:cNvSpPr txBox="1"/>
      </xdr:nvSpPr>
      <xdr:spPr>
        <a:xfrm>
          <a:off x="4492625" y="19321196"/>
          <a:ext cx="2526770" cy="294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400" b="0">
              <a:latin typeface="Franklin Gothic Book" panose="020B0503020102020204" pitchFamily="34" charset="0"/>
            </a:rPr>
            <a:t>Mixed-Use</a:t>
          </a:r>
          <a:r>
            <a:rPr lang="en-US" sz="1400" b="0" baseline="0">
              <a:latin typeface="Franklin Gothic Book" panose="020B0503020102020204" pitchFamily="34" charset="0"/>
            </a:rPr>
            <a:t> Small Site</a:t>
          </a:r>
          <a:endParaRPr lang="en-US" sz="1400" b="0">
            <a:latin typeface="Franklin Gothic Book" panose="020B0503020102020204" pitchFamily="34" charset="0"/>
          </a:endParaRPr>
        </a:p>
      </xdr:txBody>
    </xdr:sp>
    <xdr:clientData/>
  </xdr:twoCellAnchor>
  <xdr:twoCellAnchor>
    <xdr:from>
      <xdr:col>3</xdr:col>
      <xdr:colOff>104511</xdr:colOff>
      <xdr:row>112</xdr:row>
      <xdr:rowOff>109800</xdr:rowOff>
    </xdr:from>
    <xdr:to>
      <xdr:col>4</xdr:col>
      <xdr:colOff>637087</xdr:colOff>
      <xdr:row>114</xdr:row>
      <xdr:rowOff>33264</xdr:rowOff>
    </xdr:to>
    <xdr:sp macro="" textlink="">
      <xdr:nvSpPr>
        <xdr:cNvPr id="17" name="TextBox 21">
          <a:extLst>
            <a:ext uri="{FF2B5EF4-FFF2-40B4-BE49-F238E27FC236}">
              <a16:creationId xmlns="" xmlns:a16="http://schemas.microsoft.com/office/drawing/2014/main" id="{F549BF99-C08A-4652-9C4B-7E21EB46F35C}"/>
            </a:ext>
          </a:extLst>
        </xdr:cNvPr>
        <xdr:cNvSpPr txBox="1"/>
      </xdr:nvSpPr>
      <xdr:spPr>
        <a:xfrm>
          <a:off x="3163094" y="19286800"/>
          <a:ext cx="1495660" cy="240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400" b="0" baseline="0">
              <a:latin typeface="Franklin Gothic Book" panose="020B0503020102020204" pitchFamily="34" charset="0"/>
            </a:rPr>
            <a:t>Residential-Only Small Site</a:t>
          </a:r>
          <a:endParaRPr lang="en-US" sz="1400" b="0">
            <a:latin typeface="Franklin Gothic Book" panose="020B0503020102020204" pitchFamily="34" charset="0"/>
          </a:endParaRPr>
        </a:p>
      </xdr:txBody>
    </xdr:sp>
    <xdr:clientData/>
  </xdr:twoCellAnchor>
  <xdr:twoCellAnchor>
    <xdr:from>
      <xdr:col>1</xdr:col>
      <xdr:colOff>2035970</xdr:colOff>
      <xdr:row>190</xdr:row>
      <xdr:rowOff>0</xdr:rowOff>
    </xdr:from>
    <xdr:to>
      <xdr:col>13</xdr:col>
      <xdr:colOff>238125</xdr:colOff>
      <xdr:row>224</xdr:row>
      <xdr:rowOff>142119</xdr:rowOff>
    </xdr:to>
    <xdr:graphicFrame macro="">
      <xdr:nvGraphicFramePr>
        <xdr:cNvPr id="18" name="Chart 17">
          <a:extLst>
            <a:ext uri="{FF2B5EF4-FFF2-40B4-BE49-F238E27FC236}">
              <a16:creationId xmlns="" xmlns:a16="http://schemas.microsoft.com/office/drawing/2014/main" id="{77B70AC0-401F-4E85-B9EC-B2DF555DA0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504007</xdr:colOff>
      <xdr:row>85</xdr:row>
      <xdr:rowOff>42573</xdr:rowOff>
    </xdr:from>
    <xdr:to>
      <xdr:col>22</xdr:col>
      <xdr:colOff>543545</xdr:colOff>
      <xdr:row>103</xdr:row>
      <xdr:rowOff>26918</xdr:rowOff>
    </xdr:to>
    <xdr:graphicFrame macro="">
      <xdr:nvGraphicFramePr>
        <xdr:cNvPr id="19" name="Chart 18">
          <a:extLst>
            <a:ext uri="{FF2B5EF4-FFF2-40B4-BE49-F238E27FC236}">
              <a16:creationId xmlns="" xmlns:a16="http://schemas.microsoft.com/office/drawing/2014/main" id="{F1DB8841-22FE-FE42-9077-B16824E510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0.00789</cdr:x>
      <cdr:y>0.01</cdr:y>
    </cdr:from>
    <cdr:to>
      <cdr:x>0.40025</cdr:x>
      <cdr:y>0.068</cdr:y>
    </cdr:to>
    <cdr:sp macro="" textlink="">
      <cdr:nvSpPr>
        <cdr:cNvPr id="2" name="TextBox 21">
          <a:extLst xmlns:a="http://schemas.openxmlformats.org/drawingml/2006/main">
            <a:ext uri="{FF2B5EF4-FFF2-40B4-BE49-F238E27FC236}">
              <a16:creationId xmlns="" xmlns:a16="http://schemas.microsoft.com/office/drawing/2014/main" id="{9F1BC9F5-3E86-4D0F-A963-0007BD1DD80C}"/>
            </a:ext>
          </a:extLst>
        </cdr:cNvPr>
        <cdr:cNvSpPr txBox="1"/>
      </cdr:nvSpPr>
      <cdr:spPr>
        <a:xfrm xmlns:a="http://schemas.openxmlformats.org/drawingml/2006/main">
          <a:off x="50800" y="50800"/>
          <a:ext cx="2526770" cy="2946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0">
              <a:latin typeface="Franklin Gothic Book" panose="020B0503020102020204" pitchFamily="34" charset="0"/>
            </a:rPr>
            <a:t>Mixed-Use</a:t>
          </a:r>
          <a:r>
            <a:rPr lang="en-US" sz="1400" b="0" baseline="0">
              <a:latin typeface="Franklin Gothic Book" panose="020B0503020102020204" pitchFamily="34" charset="0"/>
            </a:rPr>
            <a:t> Small Site</a:t>
          </a:r>
          <a:endParaRPr lang="en-US" sz="1400" b="0">
            <a:latin typeface="Franklin Gothic Book" panose="020B05030201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0.05793</cdr:x>
      <cdr:y>0.17558</cdr:y>
    </cdr:from>
    <cdr:to>
      <cdr:x>0.26088</cdr:x>
      <cdr:y>0.20926</cdr:y>
    </cdr:to>
    <cdr:sp macro="" textlink="">
      <cdr:nvSpPr>
        <cdr:cNvPr id="2" name="TextBox 21">
          <a:extLst xmlns:a="http://schemas.openxmlformats.org/drawingml/2006/main">
            <a:ext uri="{FF2B5EF4-FFF2-40B4-BE49-F238E27FC236}">
              <a16:creationId xmlns="" xmlns:a16="http://schemas.microsoft.com/office/drawing/2014/main" id="{CB8455D9-F9CD-42B1-B5F1-2F6756F811A0}"/>
            </a:ext>
          </a:extLst>
        </cdr:cNvPr>
        <cdr:cNvSpPr txBox="1"/>
      </cdr:nvSpPr>
      <cdr:spPr>
        <a:xfrm xmlns:a="http://schemas.openxmlformats.org/drawingml/2006/main">
          <a:off x="530376" y="1021420"/>
          <a:ext cx="1858093" cy="1959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050" b="0">
              <a:latin typeface="Franklin Gothic Book" panose="020B0503020102020204" pitchFamily="34" charset="0"/>
            </a:rPr>
            <a:t>Minimum Feasibility</a:t>
          </a:r>
          <a:r>
            <a:rPr lang="en-US" sz="1050" b="0" baseline="0">
              <a:latin typeface="Franklin Gothic Book" panose="020B0503020102020204" pitchFamily="34" charset="0"/>
            </a:rPr>
            <a:t> </a:t>
          </a:r>
          <a:r>
            <a:rPr lang="en-US" sz="1050" b="0">
              <a:latin typeface="Franklin Gothic Book" panose="020B0503020102020204" pitchFamily="34" charset="0"/>
            </a:rPr>
            <a:t>(5.5%)</a:t>
          </a:r>
        </a:p>
      </cdr:txBody>
    </cdr:sp>
  </cdr:relSizeAnchor>
  <cdr:relSizeAnchor xmlns:cdr="http://schemas.openxmlformats.org/drawingml/2006/chartDrawing">
    <cdr:from>
      <cdr:x>0.14322</cdr:x>
      <cdr:y>0.01798</cdr:y>
    </cdr:from>
    <cdr:to>
      <cdr:x>0.43654</cdr:x>
      <cdr:y>0.06796</cdr:y>
    </cdr:to>
    <cdr:sp macro="" textlink="">
      <cdr:nvSpPr>
        <cdr:cNvPr id="3" name="TextBox 21">
          <a:extLst xmlns:a="http://schemas.openxmlformats.org/drawingml/2006/main">
            <a:ext uri="{FF2B5EF4-FFF2-40B4-BE49-F238E27FC236}">
              <a16:creationId xmlns="" xmlns:a16="http://schemas.microsoft.com/office/drawing/2014/main" id="{759FAA6C-53B4-4704-8912-9F28E8BC377D}"/>
            </a:ext>
          </a:extLst>
        </cdr:cNvPr>
        <cdr:cNvSpPr txBox="1"/>
      </cdr:nvSpPr>
      <cdr:spPr>
        <a:xfrm xmlns:a="http://schemas.openxmlformats.org/drawingml/2006/main">
          <a:off x="1290217" y="104580"/>
          <a:ext cx="2642380" cy="29075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0">
              <a:latin typeface="Franklin Gothic Book" panose="020B0503020102020204" pitchFamily="34" charset="0"/>
            </a:rPr>
            <a:t>Mixed-Use</a:t>
          </a:r>
          <a:r>
            <a:rPr lang="en-US" sz="1400" b="0" baseline="0">
              <a:latin typeface="Franklin Gothic Book" panose="020B0503020102020204" pitchFamily="34" charset="0"/>
            </a:rPr>
            <a:t> Large Site</a:t>
          </a:r>
          <a:endParaRPr lang="en-US" sz="1400" b="0">
            <a:latin typeface="Franklin Gothic Book" panose="020B0503020102020204" pitchFamily="34" charset="0"/>
          </a:endParaRPr>
        </a:p>
      </cdr:txBody>
    </cdr:sp>
  </cdr:relSizeAnchor>
  <cdr:relSizeAnchor xmlns:cdr="http://schemas.openxmlformats.org/drawingml/2006/chartDrawing">
    <cdr:from>
      <cdr:x>0.67423</cdr:x>
      <cdr:y>0.0183</cdr:y>
    </cdr:from>
    <cdr:to>
      <cdr:x>0.97046</cdr:x>
      <cdr:y>0.06968</cdr:y>
    </cdr:to>
    <cdr:sp macro="" textlink="">
      <cdr:nvSpPr>
        <cdr:cNvPr id="4" name="TextBox 21">
          <a:extLst xmlns:a="http://schemas.openxmlformats.org/drawingml/2006/main">
            <a:ext uri="{FF2B5EF4-FFF2-40B4-BE49-F238E27FC236}">
              <a16:creationId xmlns="" xmlns:a16="http://schemas.microsoft.com/office/drawing/2014/main" id="{C0C03248-4BBE-4A67-BFAA-1550172AF856}"/>
            </a:ext>
          </a:extLst>
        </cdr:cNvPr>
        <cdr:cNvSpPr txBox="1"/>
      </cdr:nvSpPr>
      <cdr:spPr>
        <a:xfrm xmlns:a="http://schemas.openxmlformats.org/drawingml/2006/main">
          <a:off x="6049753" y="106439"/>
          <a:ext cx="2657958" cy="29893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0">
              <a:latin typeface="Franklin Gothic Book" panose="020B0503020102020204" pitchFamily="34" charset="0"/>
            </a:rPr>
            <a:t>Residential-Only </a:t>
          </a:r>
          <a:r>
            <a:rPr lang="en-US" sz="1400" b="0" baseline="0">
              <a:latin typeface="Franklin Gothic Book" panose="020B0503020102020204" pitchFamily="34" charset="0"/>
            </a:rPr>
            <a:t>Large Site</a:t>
          </a:r>
          <a:endParaRPr lang="en-US" sz="1400" b="0">
            <a:latin typeface="Franklin Gothic Book" panose="020B0503020102020204" pitchFamily="34" charset="0"/>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0.06062</cdr:x>
      <cdr:y>0.17558</cdr:y>
    </cdr:from>
    <cdr:to>
      <cdr:x>0.32789</cdr:x>
      <cdr:y>0.23622</cdr:y>
    </cdr:to>
    <cdr:sp macro="" textlink="">
      <cdr:nvSpPr>
        <cdr:cNvPr id="2" name="TextBox 21">
          <a:extLst xmlns:a="http://schemas.openxmlformats.org/drawingml/2006/main">
            <a:ext uri="{FF2B5EF4-FFF2-40B4-BE49-F238E27FC236}">
              <a16:creationId xmlns="" xmlns:a16="http://schemas.microsoft.com/office/drawing/2014/main" id="{CB8455D9-F9CD-42B1-B5F1-2F6756F811A0}"/>
            </a:ext>
          </a:extLst>
        </cdr:cNvPr>
        <cdr:cNvSpPr txBox="1"/>
      </cdr:nvSpPr>
      <cdr:spPr>
        <a:xfrm xmlns:a="http://schemas.openxmlformats.org/drawingml/2006/main">
          <a:off x="439577" y="1020055"/>
          <a:ext cx="1937945" cy="35227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050" b="0">
              <a:latin typeface="Franklin Gothic Book" panose="020B0503020102020204" pitchFamily="34" charset="0"/>
            </a:rPr>
            <a:t>Minimum Feasibility</a:t>
          </a:r>
          <a:r>
            <a:rPr lang="en-US" sz="1050" b="0" baseline="0">
              <a:latin typeface="Franklin Gothic Book" panose="020B0503020102020204" pitchFamily="34" charset="0"/>
            </a:rPr>
            <a:t> </a:t>
          </a:r>
          <a:r>
            <a:rPr lang="en-US" sz="1050" b="0">
              <a:latin typeface="Franklin Gothic Book" panose="020B0503020102020204" pitchFamily="34" charset="0"/>
            </a:rPr>
            <a:t>(5.5%)</a:t>
          </a:r>
        </a:p>
      </cdr:txBody>
    </cdr:sp>
  </cdr:relSizeAnchor>
  <cdr:relSizeAnchor xmlns:cdr="http://schemas.openxmlformats.org/drawingml/2006/chartDrawing">
    <cdr:from>
      <cdr:x>0.15635</cdr:x>
      <cdr:y>0.01048</cdr:y>
    </cdr:from>
    <cdr:to>
      <cdr:x>0.44742</cdr:x>
      <cdr:y>0.07777</cdr:y>
    </cdr:to>
    <cdr:sp macro="" textlink="">
      <cdr:nvSpPr>
        <cdr:cNvPr id="5" name="TextBox 21">
          <a:extLst xmlns:a="http://schemas.openxmlformats.org/drawingml/2006/main">
            <a:ext uri="{FF2B5EF4-FFF2-40B4-BE49-F238E27FC236}">
              <a16:creationId xmlns="" xmlns:a16="http://schemas.microsoft.com/office/drawing/2014/main" id="{C95EC98D-6C97-4173-BD7A-1EB09AE781D6}"/>
            </a:ext>
          </a:extLst>
        </cdr:cNvPr>
        <cdr:cNvSpPr txBox="1"/>
      </cdr:nvSpPr>
      <cdr:spPr>
        <a:xfrm xmlns:a="http://schemas.openxmlformats.org/drawingml/2006/main">
          <a:off x="973579" y="60987"/>
          <a:ext cx="1812482" cy="39144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0">
              <a:latin typeface="Franklin Gothic Book" panose="020B0503020102020204" pitchFamily="34" charset="0"/>
            </a:rPr>
            <a:t>Mixed-Use</a:t>
          </a:r>
          <a:r>
            <a:rPr lang="en-US" sz="1400" b="0" baseline="0">
              <a:latin typeface="Franklin Gothic Book" panose="020B0503020102020204" pitchFamily="34" charset="0"/>
            </a:rPr>
            <a:t> Small Site</a:t>
          </a:r>
          <a:endParaRPr lang="en-US" sz="1400" b="0">
            <a:latin typeface="Franklin Gothic Book" panose="020B0503020102020204" pitchFamily="34" charset="0"/>
          </a:endParaRPr>
        </a:p>
      </cdr:txBody>
    </cdr:sp>
  </cdr:relSizeAnchor>
  <cdr:relSizeAnchor xmlns:cdr="http://schemas.openxmlformats.org/drawingml/2006/chartDrawing">
    <cdr:from>
      <cdr:x>0.65194</cdr:x>
      <cdr:y>0.00979</cdr:y>
    </cdr:from>
    <cdr:to>
      <cdr:x>0.9788</cdr:x>
      <cdr:y>0.09619</cdr:y>
    </cdr:to>
    <cdr:sp macro="" textlink="">
      <cdr:nvSpPr>
        <cdr:cNvPr id="6" name="TextBox 21">
          <a:extLst xmlns:a="http://schemas.openxmlformats.org/drawingml/2006/main">
            <a:ext uri="{FF2B5EF4-FFF2-40B4-BE49-F238E27FC236}">
              <a16:creationId xmlns="" xmlns:a16="http://schemas.microsoft.com/office/drawing/2014/main" id="{2179C4DB-5562-480E-856B-8356AFD82C2A}"/>
            </a:ext>
          </a:extLst>
        </cdr:cNvPr>
        <cdr:cNvSpPr txBox="1"/>
      </cdr:nvSpPr>
      <cdr:spPr>
        <a:xfrm xmlns:a="http://schemas.openxmlformats.org/drawingml/2006/main">
          <a:off x="4393404" y="56955"/>
          <a:ext cx="2202657" cy="50263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0" baseline="0">
              <a:latin typeface="Franklin Gothic Book" panose="020B0503020102020204" pitchFamily="34" charset="0"/>
            </a:rPr>
            <a:t>Residential-Only Small Site</a:t>
          </a:r>
          <a:endParaRPr lang="en-US" sz="1400" b="0">
            <a:latin typeface="Franklin Gothic Book" panose="020B0503020102020204" pitchFamily="34" charset="0"/>
          </a:endParaRPr>
        </a:p>
      </cdr:txBody>
    </cdr:sp>
  </cdr:relSizeAnchor>
</c:userShapes>
</file>

<file path=xl/externalLinks/_rels/externalLink1.xml.rels><?xml version="1.0" encoding="UTF-8" standalone="yes"?>
<Relationships xmlns="http://schemas.openxmlformats.org/package/2006/relationships"><Relationship Id="rId2" Type="http://schemas.microsoft.com/office/2019/04/relationships/externalLinkLongPath" Target="https://strategiceconomics-my.sharepoint.com/dc1/dc1/dc1/DC1/dfs/DC1/dc1/dfs/SE/dfs/SE/Strategic/Current%20Projects/1516%20Honolulu%20Infrastructure%20Finance/AffordableHousing/ProFormaModel/ProFormaModel%20v14%20-%20090216%20Prototype.xlsx?26D371F5" TargetMode="External"/><Relationship Id="rId1" Type="http://schemas.openxmlformats.org/officeDocument/2006/relationships/externalLinkPath" Target="file:///\\26D371F5\ProFormaModel%20v14%20-%20090216%20Prototype.xlsx"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file:///SE/dfs/SE/Volumes/dfs-1/Strategic/Current%20Projects/1212b%20Morgan%20Hill%20Industrial%20Land%20Study/Deliverables/SE/Strategic/Current%20Projects/1401%20-%20San%20Mateo%20County%20Nexus/Analysis/Affordability%20Gap/Affordability%20Gap%20Calculation_20150429.xlsx?E777CA0E" TargetMode="External"/><Relationship Id="rId1" Type="http://schemas.openxmlformats.org/officeDocument/2006/relationships/externalLinkPath" Target="file:///\\E777CA0E\Affordability%20Gap%20Calculation_201504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trategiceconomics-my.sharepoint.com/DC1/DC1/dfs/dc1/dfs/SE/dfs/SE/Strategic/Current%20Projects/1516%20Honolulu%20Infrastructure%20Finance/AffordableHousing/ProFormaModel/ProFormaModel%20v14%20-%20090216%20Prototyp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trategiceconomics-my.sharepoint.com/DC1/DC1/dfs/SE/dfs/Strategic/Current%20Projects/1509%20SF%20Market%20Octavia/Analysis/Feasibility%20Analysis/ProFormaModel%20v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trategiceconomics-my.sharepoint.com/dc1/dc1/dc1/dc1/dc1/dc1/dc1/DC1/dfs/DC1/dc1/dfs/SE/dfs/SE/Users/nfogarty/Documents/SE/Users/chris/Library/Mail%20Downloads/LakeMerrittFeasibility-12-21-12-copy.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trategiceconomics-my.sharepoint.com/DC1/DC1/dfs/SE/dfs/Users/nfogarty/Documents/SE/Users/chris/Library/Mail%20Downloads/LakeMerrittFeasibility-12-21-12-copy.xlsm"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https://strategiceconomics-my.sharepoint.com/dc1/dc1/dc1/DC1/dfs/DC1/dc1/dfs/SE/dfs/SE/Users/nfogarty/Documents/SE/dfs/Strategic/Current%20Projects/1405-%20SANDAG%20TOD%20Strategy/Analysis/ResidualLVAnalysis/Pro%20Forma%20102714_DM.xlsx?F2C36608" TargetMode="External"/><Relationship Id="rId1" Type="http://schemas.openxmlformats.org/officeDocument/2006/relationships/externalLinkPath" Target="file:///\\F2C36608\Pro%20Forma%20102714_D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trategiceconomics-my.sharepoint.com/DC1/DC1/dfs/SE/dfs/Users/nfogarty/Documents/SE/dfs/Strategic/Current%20Projects/1405-%20SANDAG%20TOD%20Strategy/Analysis/ResidualLVAnalysis/Pro%20Forma%20102714_DM.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strategiceconomics-my.sharepoint.com/dc1/dc1/dc1/dc1/dc1/dc1/dc1/DC1/dfs/DC1/dc1/dfs/SE/dfs/SE/Users/nfogarty/Documents/SE/Strategic/Strategic/strategic/Strategic/CurrentStaff/nfogarty/PROJECTS/Los%20Alamos%20Retail/SB_PSTYR.xls?9F71FFCA" TargetMode="External"/><Relationship Id="rId1" Type="http://schemas.openxmlformats.org/officeDocument/2006/relationships/externalLinkPath" Target="file:///\\9F71FFCA\SB_PSTY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trategiceconomics-my.sharepoint.com/DC1/DC1/dfs/SE/dfs/Users/nfogarty/Documents/SE/Strategic/Strategic/strategic/Strategic/CurrentStaff/nfogarty/PROJECTS/Los%20Alamos%20Retail/SB_PSTY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rototypes"/>
      <sheetName val="Revenues"/>
      <sheetName val="Costs"/>
      <sheetName val="AHAssumptions"/>
      <sheetName val="ProForma (1a)"/>
      <sheetName val="ProForma (1b)"/>
      <sheetName val="ProForma (1c)"/>
      <sheetName val="ProForma (1d)"/>
      <sheetName val="ProForma (2a)"/>
      <sheetName val="ProForma (2b)"/>
      <sheetName val="ProForma (3a)"/>
      <sheetName val="ProForma (3b)"/>
      <sheetName val="Assumptions"/>
      <sheetName val="ForSaleSummary"/>
      <sheetName val="RentalSummary"/>
      <sheetName val="Incentives"/>
      <sheetName val="Performance"/>
      <sheetName val="FeasibilityMatrix"/>
      <sheetName val="FeasibilityMatrix-abbr"/>
      <sheetName val="AffordabilityGap"/>
      <sheetName val="StreetscapeImprCharge"/>
      <sheetName val="Sm-LgScaleComp"/>
      <sheetName val="HUDFairMarketRents"/>
      <sheetName val="NeededInputs"/>
    </sheetNames>
    <sheetDataSet>
      <sheetData sheetId="0"/>
      <sheetData sheetId="1">
        <row r="3">
          <cell r="C3" t="str">
            <v>1a</v>
          </cell>
        </row>
      </sheetData>
      <sheetData sheetId="2">
        <row r="20">
          <cell r="C20">
            <v>421739.74770844029</v>
          </cell>
        </row>
      </sheetData>
      <sheetData sheetId="3">
        <row r="8">
          <cell r="D8">
            <v>45</v>
          </cell>
        </row>
        <row r="47">
          <cell r="D47">
            <v>0.05</v>
          </cell>
        </row>
        <row r="52">
          <cell r="D52">
            <v>0.18</v>
          </cell>
        </row>
      </sheetData>
      <sheetData sheetId="4">
        <row r="6">
          <cell r="E6">
            <v>0.2</v>
          </cell>
          <cell r="F6">
            <v>0.30000000000000004</v>
          </cell>
        </row>
        <row r="7">
          <cell r="E7">
            <v>0.25</v>
          </cell>
          <cell r="F7">
            <v>0.375</v>
          </cell>
        </row>
        <row r="31">
          <cell r="D31">
            <v>0.15</v>
          </cell>
          <cell r="E31">
            <v>0.22499999999999998</v>
          </cell>
        </row>
        <row r="32">
          <cell r="D32">
            <v>0.15</v>
          </cell>
          <cell r="E32">
            <v>0.22499999999999998</v>
          </cell>
        </row>
        <row r="42">
          <cell r="C42">
            <v>45</v>
          </cell>
          <cell r="D42">
            <v>67.5</v>
          </cell>
        </row>
        <row r="46">
          <cell r="C46">
            <v>5171.5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endingAssump"/>
      <sheetName val="1.IncomeAssump"/>
      <sheetName val="2.UtilityAssump"/>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rototypes"/>
      <sheetName val="Revenues"/>
      <sheetName val="Costs"/>
      <sheetName val="AHAssumptions"/>
      <sheetName val="ProForma (1a)"/>
      <sheetName val="ProForma (1b)"/>
      <sheetName val="ProForma (1c)"/>
      <sheetName val="ProForma (1d)"/>
      <sheetName val="ProForma (2a)"/>
      <sheetName val="ProForma (2b)"/>
      <sheetName val="ProForma (3a)"/>
      <sheetName val="ProForma (3b)"/>
      <sheetName val="Assumptions"/>
      <sheetName val="ForSaleSummary"/>
      <sheetName val="RentalSummary"/>
      <sheetName val="Incentives"/>
      <sheetName val="Performance"/>
      <sheetName val="FeasibilityMatrix"/>
      <sheetName val="FeasibilityMatrix-abbr"/>
      <sheetName val="AffordabilityGap"/>
      <sheetName val="StreetscapeImprCharge"/>
      <sheetName val="Sm-LgScaleComp"/>
      <sheetName val="HUDFairMarketRents"/>
      <sheetName val="NeededInputs"/>
    </sheetNames>
    <sheetDataSet>
      <sheetData sheetId="0"/>
      <sheetData sheetId="1">
        <row r="3">
          <cell r="C3" t="str">
            <v>1a</v>
          </cell>
        </row>
      </sheetData>
      <sheetData sheetId="2">
        <row r="20">
          <cell r="C20">
            <v>421739.74770844029</v>
          </cell>
        </row>
      </sheetData>
      <sheetData sheetId="3">
        <row r="8">
          <cell r="D8">
            <v>45</v>
          </cell>
        </row>
      </sheetData>
      <sheetData sheetId="4">
        <row r="6">
          <cell r="E6">
            <v>0.2</v>
          </cell>
        </row>
        <row r="7">
          <cell r="E7">
            <v>0.25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itesFromCity"/>
      <sheetName val="Programming"/>
      <sheetName val="RevenueAssumptions"/>
      <sheetName val="AHAssumptions"/>
      <sheetName val="CostAssumptions"/>
      <sheetName val="Revenues"/>
      <sheetName val="Costs"/>
      <sheetName val="ProForma (For-sale)"/>
      <sheetName val="ProForma (Rental)"/>
      <sheetName val="ProForma (1a)"/>
      <sheetName val="Assumptions"/>
      <sheetName val="Performance"/>
      <sheetName val="Feasibility Gap"/>
      <sheetName val="ForSaleSummary"/>
      <sheetName val="RentalSummary"/>
      <sheetName val="Incentives"/>
      <sheetName val="FeasibilityMatrix"/>
      <sheetName val="FeasibilityMatrix-abbr"/>
      <sheetName val="AffordabilityGap"/>
    </sheetNames>
    <sheetDataSet>
      <sheetData sheetId="0"/>
      <sheetData sheetId="1"/>
      <sheetData sheetId="2"/>
      <sheetData sheetId="3"/>
      <sheetData sheetId="4">
        <row r="21">
          <cell r="E21">
            <v>5797.2306927468044</v>
          </cell>
          <cell r="F21">
            <v>6564.7876505152908</v>
          </cell>
        </row>
        <row r="22">
          <cell r="E22">
            <v>28252.769307253195</v>
          </cell>
          <cell r="F22">
            <v>31992.712349484711</v>
          </cell>
        </row>
        <row r="57">
          <cell r="D57">
            <v>1133</v>
          </cell>
        </row>
      </sheetData>
      <sheetData sheetId="5"/>
      <sheetData sheetId="6"/>
      <sheetData sheetId="7">
        <row r="56">
          <cell r="C56">
            <v>17037459.375</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ssump - Dev Program"/>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ssump - Dev Program"/>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B_PSTY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B_PSTYR"/>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Urban Planning Partners" id="{6B2282FE-6C6A-4C0D-B064-A4B03B560EA0}" userId="Urban Planning Partners" providerId="None"/>
</personList>
</file>

<file path=xl/tables/table1.xml><?xml version="1.0" encoding="utf-8"?>
<table xmlns="http://schemas.openxmlformats.org/spreadsheetml/2006/main" id="1" name="Table1" displayName="Table1" ref="B8:B11" totalsRowShown="0" headerRowDxfId="19" dataDxfId="18" dataCellStyle="Comma">
  <autoFilter ref="B8:B11"/>
  <sortState ref="B9:B11">
    <sortCondition ref="B8:B11"/>
  </sortState>
  <tableColumns count="1">
    <tableColumn id="1" name="Unit size" dataDxfId="17" dataCellStyle="Comma"/>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D3:D9" totalsRowShown="0" headerRowDxfId="16">
  <autoFilter ref="D3:D9"/>
  <sortState ref="D4:D8">
    <sortCondition ref="D3:D8"/>
  </sortState>
  <tableColumns count="1">
    <tableColumn id="1" name="Studio/1BD Parking Ratio"/>
  </tableColumns>
  <tableStyleInfo name="TableStyleMedium2" showFirstColumn="0" showLastColumn="0" showRowStripes="1" showColumnStripes="0"/>
</table>
</file>

<file path=xl/tables/table3.xml><?xml version="1.0" encoding="utf-8"?>
<table xmlns="http://schemas.openxmlformats.org/spreadsheetml/2006/main" id="4" name="Table25" displayName="Table25" ref="D11:D16" totalsRowShown="0" headerRowDxfId="15">
  <autoFilter ref="D11:D16"/>
  <sortState ref="D12:D16">
    <sortCondition ref="D11:D16"/>
  </sortState>
  <tableColumns count="1">
    <tableColumn id="1" name="2BD+ Parking Ratio"/>
  </tableColumns>
  <tableStyleInfo name="TableStyleMedium2" showFirstColumn="0" showLastColumn="0" showRowStripes="1" showColumnStripes="0"/>
</table>
</file>

<file path=xl/tables/table4.xml><?xml version="1.0" encoding="utf-8"?>
<table xmlns="http://schemas.openxmlformats.org/spreadsheetml/2006/main" id="6" name="Table37" displayName="Table37" ref="B13:B16" totalsRowShown="0" headerRowDxfId="14" dataDxfId="13" dataCellStyle="Percent">
  <autoFilter ref="B13:B16"/>
  <tableColumns count="1">
    <tableColumn id="1" name="Retail*" dataDxfId="12" dataCellStyle="Percent"/>
  </tableColumns>
  <tableStyleInfo name="TableStyleMedium2" showFirstColumn="0" showLastColumn="0" showRowStripes="1" showColumnStripes="0"/>
</table>
</file>

<file path=xl/tables/table5.xml><?xml version="1.0" encoding="utf-8"?>
<table xmlns="http://schemas.openxmlformats.org/spreadsheetml/2006/main" id="3" name="Table264" displayName="Table264" ref="F3:F7" totalsRowShown="0" headerRowDxfId="11">
  <autoFilter ref="F3:F7"/>
  <tableColumns count="1">
    <tableColumn id="1" name="Space per sf of Retail"/>
  </tableColumns>
  <tableStyleInfo name="TableStyleMedium2" showFirstColumn="0" showLastColumn="0" showRowStripes="1" showColumnStripes="0"/>
</table>
</file>

<file path=xl/tables/table6.xml><?xml version="1.0" encoding="utf-8"?>
<table xmlns="http://schemas.openxmlformats.org/spreadsheetml/2006/main" id="12" name="Table12" displayName="Table12" ref="D19:D23" totalsRowShown="0" headerRowDxfId="10" dataDxfId="9">
  <autoFilter ref="D19:D23"/>
  <tableColumns count="1">
    <tableColumn id="1" name="Guest Parking " dataDxfId="8"/>
  </tableColumns>
  <tableStyleInfo name="TableStyleMedium2" showFirstColumn="0" showLastColumn="0" showRowStripes="1" showColumnStripes="0"/>
</table>
</file>

<file path=xl/tables/table7.xml><?xml version="1.0" encoding="utf-8"?>
<table xmlns="http://schemas.openxmlformats.org/spreadsheetml/2006/main" id="5" name="Table5" displayName="Table5" ref="B3:B6" totalsRowShown="0" headerRowDxfId="7" dataDxfId="6">
  <autoFilter ref="B3:B6"/>
  <tableColumns count="1">
    <tableColumn id="1" name="Height" dataDxfId="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22" dT="2021-02-24T21:37:51.75" personId="{6B2282FE-6C6A-4C0D-B064-A4B03B560EA0}" id="{6E1164BF-9426-4578-80BA-708B214B01B8}">
    <text>D/n include uncovered parking in setback</text>
  </threadedComment>
  <threadedComment ref="W24" dT="2021-03-04T19:25:08.91" personId="{6B2282FE-6C6A-4C0D-B064-A4B03B560EA0}" id="{A82F0479-4BB5-4BF4-98CA-8EF94E14CEF5}">
    <text>include access/loading space in parking sf</text>
  </threadedComment>
  <threadedComment ref="V34" dT="2021-03-04T19:27:23.59" personId="{6B2282FE-6C6A-4C0D-B064-A4B03B560EA0}" id="{D2F633D7-CD23-4ED5-9F45-39B4F4BE9055}">
    <text>see if parking ratio reduction applies?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79998168889431442"/>
  </sheetPr>
  <dimension ref="A1:G22"/>
  <sheetViews>
    <sheetView showGridLines="0" tabSelected="1" zoomScale="150" workbookViewId="0"/>
  </sheetViews>
  <sheetFormatPr defaultColWidth="10.5703125" defaultRowHeight="15.75" x14ac:dyDescent="0.3"/>
  <cols>
    <col min="1" max="1" width="3.140625" style="617" customWidth="1"/>
    <col min="2" max="2" width="43.85546875" style="617" bestFit="1" customWidth="1"/>
    <col min="3" max="5" width="16.5703125" style="617" customWidth="1"/>
    <col min="6" max="16384" width="10.5703125" style="617"/>
  </cols>
  <sheetData>
    <row r="1" spans="1:5" s="614" customFormat="1" ht="12" customHeight="1" x14ac:dyDescent="0.25"/>
    <row r="2" spans="1:5" s="614" customFormat="1" ht="20.25" customHeight="1" thickBot="1" x14ac:dyDescent="0.3">
      <c r="A2" s="615" t="s">
        <v>739</v>
      </c>
      <c r="B2" s="616"/>
      <c r="C2" s="616"/>
      <c r="D2" s="616"/>
      <c r="E2" s="616"/>
    </row>
    <row r="3" spans="1:5" ht="56.45" customHeight="1" x14ac:dyDescent="0.3">
      <c r="B3" s="722" t="s">
        <v>743</v>
      </c>
      <c r="C3" s="722"/>
      <c r="D3" s="722"/>
      <c r="E3" s="722"/>
    </row>
    <row r="7" spans="1:5" x14ac:dyDescent="0.3">
      <c r="A7" s="618"/>
      <c r="B7" s="619" t="s">
        <v>737</v>
      </c>
    </row>
    <row r="8" spans="1:5" x14ac:dyDescent="0.3">
      <c r="A8" s="620"/>
    </row>
    <row r="9" spans="1:5" x14ac:dyDescent="0.3">
      <c r="A9" s="621">
        <v>1</v>
      </c>
      <c r="B9" s="622" t="s">
        <v>742</v>
      </c>
    </row>
    <row r="10" spans="1:5" ht="84" customHeight="1" x14ac:dyDescent="0.3">
      <c r="A10" s="623"/>
      <c r="B10" s="723" t="s">
        <v>745</v>
      </c>
      <c r="C10" s="723"/>
      <c r="D10" s="723"/>
      <c r="E10" s="723"/>
    </row>
    <row r="11" spans="1:5" x14ac:dyDescent="0.3">
      <c r="A11" s="620"/>
    </row>
    <row r="12" spans="1:5" x14ac:dyDescent="0.3">
      <c r="A12" s="621">
        <v>2</v>
      </c>
      <c r="B12" s="617" t="s">
        <v>740</v>
      </c>
    </row>
    <row r="13" spans="1:5" ht="42.6" customHeight="1" x14ac:dyDescent="0.3">
      <c r="A13" s="623"/>
      <c r="B13" s="724" t="s">
        <v>741</v>
      </c>
      <c r="C13" s="724"/>
      <c r="D13" s="724"/>
      <c r="E13" s="724"/>
    </row>
    <row r="14" spans="1:5" x14ac:dyDescent="0.3">
      <c r="A14" s="620"/>
    </row>
    <row r="16" spans="1:5" x14ac:dyDescent="0.3">
      <c r="A16" s="618"/>
      <c r="B16" s="619" t="s">
        <v>738</v>
      </c>
    </row>
    <row r="17" spans="2:7" ht="16.5" thickBot="1" x14ac:dyDescent="0.35">
      <c r="C17" s="624"/>
      <c r="G17" s="624"/>
    </row>
    <row r="18" spans="2:7" ht="27.95" customHeight="1" thickBot="1" x14ac:dyDescent="0.35">
      <c r="B18" s="725" t="s">
        <v>748</v>
      </c>
      <c r="C18" s="726"/>
      <c r="D18" s="726"/>
      <c r="E18" s="727"/>
      <c r="G18" s="624"/>
    </row>
    <row r="20" spans="2:7" ht="27.95" customHeight="1" x14ac:dyDescent="0.3">
      <c r="B20" s="716" t="s">
        <v>744</v>
      </c>
      <c r="C20" s="717"/>
      <c r="D20" s="717"/>
      <c r="E20" s="718"/>
      <c r="G20" s="624"/>
    </row>
    <row r="21" spans="2:7" x14ac:dyDescent="0.3">
      <c r="G21" s="624"/>
    </row>
    <row r="22" spans="2:7" ht="26.1" customHeight="1" x14ac:dyDescent="0.3">
      <c r="B22" s="719" t="s">
        <v>749</v>
      </c>
      <c r="C22" s="720"/>
      <c r="D22" s="720"/>
      <c r="E22" s="721"/>
      <c r="F22" s="626"/>
    </row>
  </sheetData>
  <sheetProtection algorithmName="SHA-512" hashValue="w5y2A0EDDCQYsfrWIB4U769hJfERCxahyGNdV5yAGuD7ukby+tHV6w9l3SUkJQRTWjWfr/XzUqJuUuq4UvLdXA==" saltValue="KrvoUAxIA+RQsKpf8gSU6w==" spinCount="100000" sheet="1" objects="1" scenarios="1" formatCells="0" formatColumns="0" formatRows="0"/>
  <mergeCells count="6">
    <mergeCell ref="B20:E20"/>
    <mergeCell ref="B22:E22"/>
    <mergeCell ref="B3:E3"/>
    <mergeCell ref="B10:E10"/>
    <mergeCell ref="B13:E13"/>
    <mergeCell ref="B18:E1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pageSetUpPr fitToPage="1"/>
  </sheetPr>
  <dimension ref="A1:L38"/>
  <sheetViews>
    <sheetView topLeftCell="A16" workbookViewId="0">
      <selection activeCell="E51" sqref="E51"/>
    </sheetView>
  </sheetViews>
  <sheetFormatPr defaultColWidth="9" defaultRowHeight="12.75" x14ac:dyDescent="0.25"/>
  <cols>
    <col min="1" max="1" width="1.85546875" style="57" customWidth="1"/>
    <col min="2" max="2" width="32.140625" style="57" customWidth="1"/>
    <col min="3" max="3" width="19.140625" style="57" customWidth="1"/>
    <col min="4" max="4" width="10.85546875" style="57" customWidth="1"/>
    <col min="5" max="5" width="43.85546875" style="57" customWidth="1"/>
    <col min="6" max="6" width="40.85546875" style="57" customWidth="1"/>
    <col min="7" max="7" width="16.5703125" style="57" bestFit="1" customWidth="1"/>
    <col min="8" max="8" width="10.140625" style="57" customWidth="1"/>
    <col min="9" max="16384" width="9" style="57"/>
  </cols>
  <sheetData>
    <row r="1" spans="1:12" ht="15.75" x14ac:dyDescent="0.3">
      <c r="A1" s="70" t="s">
        <v>122</v>
      </c>
      <c r="B1" s="56"/>
      <c r="C1" s="59"/>
      <c r="D1" s="59"/>
    </row>
    <row r="2" spans="1:12" s="72" customFormat="1" ht="13.5" x14ac:dyDescent="0.25">
      <c r="A2" s="105"/>
      <c r="B2" s="105"/>
      <c r="C2" s="106" t="s">
        <v>38</v>
      </c>
      <c r="D2" s="107" t="s">
        <v>49</v>
      </c>
      <c r="E2" s="108" t="s">
        <v>6</v>
      </c>
    </row>
    <row r="3" spans="1:12" s="72" customFormat="1" ht="13.5" x14ac:dyDescent="0.25">
      <c r="C3" s="82"/>
      <c r="D3" s="82"/>
    </row>
    <row r="4" spans="1:12" s="72" customFormat="1" ht="13.5" x14ac:dyDescent="0.25">
      <c r="A4" s="109"/>
      <c r="B4" s="110" t="s">
        <v>37</v>
      </c>
      <c r="C4" s="111"/>
      <c r="D4" s="111"/>
      <c r="E4" s="112"/>
      <c r="F4" s="89"/>
    </row>
    <row r="5" spans="1:12" s="72" customFormat="1" ht="13.5" x14ac:dyDescent="0.25">
      <c r="A5" s="83"/>
      <c r="B5" s="82" t="s">
        <v>579</v>
      </c>
      <c r="C5" s="113" t="s">
        <v>101</v>
      </c>
      <c r="D5" s="114">
        <v>65</v>
      </c>
      <c r="E5" s="112" t="s">
        <v>568</v>
      </c>
      <c r="F5" s="411">
        <f>D5*43560</f>
        <v>2831400</v>
      </c>
      <c r="G5" s="422">
        <f>F5*0.13</f>
        <v>368082</v>
      </c>
    </row>
    <row r="6" spans="1:12" s="72" customFormat="1" ht="13.5" x14ac:dyDescent="0.25">
      <c r="A6" s="82"/>
      <c r="B6" s="82" t="s">
        <v>484</v>
      </c>
      <c r="C6" s="113" t="s">
        <v>101</v>
      </c>
      <c r="D6" s="114">
        <v>20</v>
      </c>
      <c r="E6" s="112"/>
      <c r="F6" s="89"/>
      <c r="G6" s="421">
        <v>1500000</v>
      </c>
    </row>
    <row r="7" spans="1:12" s="72" customFormat="1" ht="13.5" x14ac:dyDescent="0.25">
      <c r="A7" s="82"/>
      <c r="B7" s="82"/>
      <c r="C7" s="113"/>
      <c r="D7" s="116"/>
      <c r="E7" s="89"/>
      <c r="F7" s="89"/>
      <c r="G7" s="72">
        <f>G5/G6</f>
        <v>0.245388</v>
      </c>
    </row>
    <row r="8" spans="1:12" s="72" customFormat="1" ht="13.5" x14ac:dyDescent="0.25">
      <c r="A8" s="109"/>
      <c r="B8" s="110" t="s">
        <v>26</v>
      </c>
      <c r="C8" s="117"/>
      <c r="D8" s="117"/>
      <c r="E8" s="82"/>
    </row>
    <row r="9" spans="1:12" s="72" customFormat="1" ht="13.5" x14ac:dyDescent="0.25">
      <c r="A9" s="83"/>
      <c r="B9" s="120" t="s">
        <v>518</v>
      </c>
      <c r="C9" s="113" t="s">
        <v>102</v>
      </c>
      <c r="D9" s="412">
        <v>275</v>
      </c>
      <c r="E9" s="119" t="s">
        <v>485</v>
      </c>
      <c r="G9" s="121"/>
    </row>
    <row r="10" spans="1:12" s="72" customFormat="1" ht="13.5" x14ac:dyDescent="0.25">
      <c r="A10" s="82"/>
      <c r="B10" s="120" t="s">
        <v>427</v>
      </c>
      <c r="C10" s="113" t="s">
        <v>92</v>
      </c>
      <c r="D10" s="118">
        <v>40000</v>
      </c>
      <c r="E10" s="119" t="s">
        <v>429</v>
      </c>
      <c r="F10" s="122"/>
      <c r="G10" s="123"/>
      <c r="H10" s="123"/>
      <c r="I10" s="123"/>
      <c r="J10" s="123"/>
      <c r="K10" s="123"/>
      <c r="L10" s="123"/>
    </row>
    <row r="11" spans="1:12" s="72" customFormat="1" ht="13.5" x14ac:dyDescent="0.25">
      <c r="A11" s="82"/>
      <c r="B11" s="82" t="s">
        <v>428</v>
      </c>
      <c r="C11" s="113" t="s">
        <v>92</v>
      </c>
      <c r="D11" s="118">
        <v>80000</v>
      </c>
      <c r="E11" s="119" t="s">
        <v>430</v>
      </c>
    </row>
    <row r="12" spans="1:12" s="72" customFormat="1" ht="13.5" x14ac:dyDescent="0.25">
      <c r="A12" s="82"/>
      <c r="B12" s="124"/>
      <c r="C12" s="113"/>
      <c r="D12" s="125"/>
      <c r="E12" s="119"/>
    </row>
    <row r="13" spans="1:12" s="72" customFormat="1" ht="13.5" x14ac:dyDescent="0.25">
      <c r="A13" s="109"/>
      <c r="B13" s="110" t="s">
        <v>25</v>
      </c>
      <c r="C13" s="126"/>
      <c r="D13" s="126"/>
      <c r="E13" s="83"/>
    </row>
    <row r="14" spans="1:12" s="72" customFormat="1" ht="13.5" x14ac:dyDescent="0.25">
      <c r="A14" s="82"/>
      <c r="B14" s="127" t="s">
        <v>28</v>
      </c>
      <c r="C14" s="113" t="s">
        <v>27</v>
      </c>
      <c r="D14" s="128">
        <v>0.06</v>
      </c>
      <c r="E14" s="119"/>
    </row>
    <row r="15" spans="1:12" s="72" customFormat="1" ht="13.5" x14ac:dyDescent="0.25">
      <c r="A15" s="82"/>
      <c r="B15" s="127" t="s">
        <v>29</v>
      </c>
      <c r="C15" s="113" t="s">
        <v>27</v>
      </c>
      <c r="D15" s="128">
        <v>0.03</v>
      </c>
      <c r="E15" s="119"/>
    </row>
    <row r="16" spans="1:12" s="72" customFormat="1" ht="13.5" x14ac:dyDescent="0.25">
      <c r="A16" s="82"/>
      <c r="B16" s="129" t="s">
        <v>437</v>
      </c>
      <c r="C16" s="130" t="s">
        <v>27</v>
      </c>
      <c r="D16" s="131">
        <v>0.05</v>
      </c>
      <c r="E16" s="119"/>
    </row>
    <row r="17" spans="1:6" s="72" customFormat="1" ht="27" x14ac:dyDescent="0.25">
      <c r="A17" s="82"/>
      <c r="B17" s="132" t="s">
        <v>47</v>
      </c>
      <c r="C17" s="80" t="s">
        <v>27</v>
      </c>
      <c r="D17" s="133">
        <f>SUM(D14:D16)</f>
        <v>0.14000000000000001</v>
      </c>
      <c r="E17" s="119"/>
    </row>
    <row r="18" spans="1:6" s="72" customFormat="1" ht="13.5" x14ac:dyDescent="0.25">
      <c r="A18" s="82"/>
      <c r="B18" s="134"/>
      <c r="C18" s="115"/>
      <c r="D18" s="135"/>
      <c r="E18" s="119"/>
    </row>
    <row r="19" spans="1:6" s="72" customFormat="1" ht="13.5" x14ac:dyDescent="0.25">
      <c r="A19" s="82"/>
      <c r="B19" s="127" t="s">
        <v>31</v>
      </c>
      <c r="C19" s="113" t="s">
        <v>502</v>
      </c>
      <c r="D19" s="128">
        <v>0.05</v>
      </c>
      <c r="E19" s="119"/>
    </row>
    <row r="20" spans="1:6" s="72" customFormat="1" ht="13.5" x14ac:dyDescent="0.25">
      <c r="A20" s="82"/>
      <c r="B20" s="127"/>
      <c r="C20" s="113"/>
      <c r="D20" s="128"/>
      <c r="E20" s="119"/>
    </row>
    <row r="21" spans="1:6" s="72" customFormat="1" ht="13.5" x14ac:dyDescent="0.25">
      <c r="A21" s="109"/>
      <c r="B21" s="136" t="s">
        <v>24</v>
      </c>
      <c r="C21" s="110"/>
      <c r="D21" s="110"/>
      <c r="E21" s="137"/>
    </row>
    <row r="22" spans="1:6" s="72" customFormat="1" ht="13.5" x14ac:dyDescent="0.25">
      <c r="A22" s="82"/>
      <c r="B22" s="82" t="s">
        <v>33</v>
      </c>
      <c r="C22" s="113" t="s">
        <v>50</v>
      </c>
      <c r="D22" s="138">
        <v>0.65</v>
      </c>
      <c r="E22" s="119"/>
      <c r="F22" s="89"/>
    </row>
    <row r="23" spans="1:6" s="72" customFormat="1" ht="13.5" x14ac:dyDescent="0.25">
      <c r="A23" s="82"/>
      <c r="B23" s="139" t="s">
        <v>34</v>
      </c>
      <c r="C23" s="113" t="s">
        <v>132</v>
      </c>
      <c r="D23" s="138">
        <v>0.55000000000000004</v>
      </c>
      <c r="E23" s="119"/>
    </row>
    <row r="24" spans="1:6" s="72" customFormat="1" ht="13.5" x14ac:dyDescent="0.25">
      <c r="A24" s="82"/>
      <c r="B24" s="140" t="s">
        <v>35</v>
      </c>
      <c r="C24" s="113" t="s">
        <v>132</v>
      </c>
      <c r="D24" s="141">
        <v>0.01</v>
      </c>
      <c r="E24" s="112"/>
    </row>
    <row r="25" spans="1:6" s="72" customFormat="1" ht="13.5" x14ac:dyDescent="0.25">
      <c r="A25" s="82"/>
      <c r="B25" s="140" t="s">
        <v>36</v>
      </c>
      <c r="C25" s="82" t="s">
        <v>131</v>
      </c>
      <c r="D25" s="141">
        <v>5.5E-2</v>
      </c>
      <c r="E25" s="112"/>
    </row>
    <row r="26" spans="1:6" s="72" customFormat="1" ht="13.5" x14ac:dyDescent="0.25">
      <c r="A26" s="82"/>
      <c r="B26" s="140" t="s">
        <v>40</v>
      </c>
      <c r="C26" s="113" t="s">
        <v>133</v>
      </c>
      <c r="D26" s="160">
        <v>18</v>
      </c>
      <c r="E26" s="112"/>
    </row>
    <row r="27" spans="1:6" s="72" customFormat="1" ht="13.5" x14ac:dyDescent="0.25">
      <c r="A27" s="82"/>
      <c r="B27" s="140"/>
      <c r="C27" s="113"/>
      <c r="D27" s="142"/>
      <c r="E27" s="112"/>
    </row>
    <row r="28" spans="1:6" s="72" customFormat="1" ht="13.5" x14ac:dyDescent="0.25">
      <c r="A28" s="82"/>
      <c r="B28" s="143" t="s">
        <v>110</v>
      </c>
      <c r="C28" s="144"/>
      <c r="D28" s="145"/>
      <c r="E28" s="112"/>
    </row>
    <row r="29" spans="1:6" s="72" customFormat="1" ht="13.5" x14ac:dyDescent="0.25">
      <c r="A29" s="82"/>
      <c r="B29" s="146" t="s">
        <v>108</v>
      </c>
      <c r="C29" s="144"/>
      <c r="D29" s="147">
        <f>D22*D24</f>
        <v>6.5000000000000006E-3</v>
      </c>
      <c r="E29" s="112"/>
    </row>
    <row r="30" spans="1:6" s="72" customFormat="1" ht="13.5" x14ac:dyDescent="0.25">
      <c r="A30" s="82"/>
      <c r="B30" s="146" t="s">
        <v>109</v>
      </c>
      <c r="C30" s="144"/>
      <c r="D30" s="147">
        <f>D22*D23*(D25/12)*D26</f>
        <v>2.9493750000000003E-2</v>
      </c>
      <c r="E30" s="112"/>
    </row>
    <row r="31" spans="1:6" s="72" customFormat="1" ht="13.5" x14ac:dyDescent="0.25">
      <c r="A31" s="82"/>
      <c r="B31" s="148"/>
      <c r="C31" s="149"/>
      <c r="D31" s="150"/>
      <c r="E31" s="112"/>
    </row>
    <row r="32" spans="1:6" s="72" customFormat="1" ht="13.5" x14ac:dyDescent="0.25">
      <c r="A32" s="82"/>
      <c r="B32" s="127"/>
      <c r="C32" s="113"/>
      <c r="D32" s="128"/>
      <c r="E32" s="119"/>
    </row>
    <row r="33" spans="1:5" s="72" customFormat="1" ht="13.5" x14ac:dyDescent="0.25">
      <c r="A33" s="109"/>
      <c r="B33" s="136" t="s">
        <v>32</v>
      </c>
      <c r="C33" s="110"/>
      <c r="D33" s="110"/>
      <c r="E33" s="137"/>
    </row>
    <row r="34" spans="1:5" s="72" customFormat="1" ht="13.5" x14ac:dyDescent="0.25">
      <c r="A34" s="82"/>
      <c r="B34" s="127" t="s">
        <v>233</v>
      </c>
      <c r="C34" s="113" t="s">
        <v>106</v>
      </c>
      <c r="D34" s="114">
        <v>30000</v>
      </c>
      <c r="E34" s="119" t="s">
        <v>230</v>
      </c>
    </row>
    <row r="35" spans="1:5" s="72" customFormat="1" ht="13.5" x14ac:dyDescent="0.25">
      <c r="A35" s="82"/>
      <c r="B35" s="140"/>
      <c r="C35" s="113"/>
      <c r="D35" s="114"/>
      <c r="E35" s="112"/>
    </row>
    <row r="36" spans="1:5" s="72" customFormat="1" ht="13.5" x14ac:dyDescent="0.25">
      <c r="A36" s="109"/>
      <c r="B36" s="110" t="s">
        <v>125</v>
      </c>
      <c r="C36" s="151"/>
      <c r="D36" s="152"/>
      <c r="E36" s="119"/>
    </row>
    <row r="37" spans="1:5" s="72" customFormat="1" ht="13.5" hidden="1" x14ac:dyDescent="0.25">
      <c r="A37" s="83"/>
      <c r="B37" s="82" t="s">
        <v>51</v>
      </c>
      <c r="C37" s="149" t="s">
        <v>50</v>
      </c>
      <c r="D37" s="153">
        <v>0</v>
      </c>
      <c r="E37" s="119"/>
    </row>
    <row r="38" spans="1:5" s="72" customFormat="1" ht="13.5" x14ac:dyDescent="0.25">
      <c r="A38" s="83"/>
      <c r="B38" s="82" t="s">
        <v>120</v>
      </c>
      <c r="C38" s="149" t="s">
        <v>121</v>
      </c>
      <c r="D38" s="333">
        <v>5.5E-2</v>
      </c>
      <c r="E38" s="119" t="s">
        <v>433</v>
      </c>
    </row>
  </sheetData>
  <sheetProtection algorithmName="SHA-512" hashValue="Er8PXhiAtpLAALw9m9JYt2+BJ7jmbEAvXgd58TOVWAcpWZJjwbyO9OOyfsAJz9Ow6r1d3nXh51bV1+nTyZr5FQ==" saltValue="SCFu+KbksRIdhhvNBD0JEA==" spinCount="100000" sheet="1" objects="1" scenarios="1"/>
  <pageMargins left="0.7" right="0.7" top="0.75" bottom="0.75" header="0.3" footer="0.3"/>
  <pageSetup fitToHeight="0" orientation="landscape" r:id="rId1"/>
  <ignoredErrors>
    <ignoredError sqref="D17"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tint="-0.249977111117893"/>
    <pageSetUpPr fitToPage="1"/>
  </sheetPr>
  <dimension ref="A1:M50"/>
  <sheetViews>
    <sheetView zoomScale="110" zoomScaleNormal="110" workbookViewId="0">
      <selection activeCell="E21" sqref="E21"/>
    </sheetView>
  </sheetViews>
  <sheetFormatPr defaultColWidth="9" defaultRowHeight="12.75" x14ac:dyDescent="0.25"/>
  <cols>
    <col min="1" max="1" width="1.85546875" style="57" customWidth="1"/>
    <col min="2" max="2" width="32.140625" style="57" customWidth="1"/>
    <col min="3" max="3" width="19.140625" style="57" customWidth="1"/>
    <col min="4" max="4" width="14.5703125" style="57" bestFit="1" customWidth="1"/>
    <col min="5" max="5" width="43.85546875" style="57" customWidth="1"/>
    <col min="6" max="6" width="8.42578125" style="57" customWidth="1"/>
    <col min="7" max="7" width="2.42578125" style="57" customWidth="1"/>
    <col min="8" max="8" width="31.140625" style="57" customWidth="1"/>
    <col min="9" max="9" width="55.5703125" style="57" customWidth="1"/>
    <col min="10" max="10" width="10.140625" style="57" customWidth="1"/>
    <col min="11" max="11" width="12.42578125" style="57" customWidth="1"/>
    <col min="12" max="12" width="12.85546875" style="57" bestFit="1" customWidth="1"/>
    <col min="13" max="16384" width="9" style="57"/>
  </cols>
  <sheetData>
    <row r="1" spans="1:13" ht="15.75" x14ac:dyDescent="0.3">
      <c r="A1" s="69" t="s">
        <v>123</v>
      </c>
    </row>
    <row r="3" spans="1:13" s="72" customFormat="1" ht="13.5" x14ac:dyDescent="0.25">
      <c r="A3" s="109"/>
      <c r="B3" s="78" t="s">
        <v>234</v>
      </c>
      <c r="C3" s="82"/>
      <c r="D3" s="82"/>
      <c r="G3" s="109"/>
      <c r="H3" s="547" t="s">
        <v>655</v>
      </c>
    </row>
    <row r="4" spans="1:13" s="72" customFormat="1" ht="13.5" x14ac:dyDescent="0.25">
      <c r="A4" s="168"/>
      <c r="B4" s="168"/>
      <c r="C4" s="169" t="s">
        <v>38</v>
      </c>
      <c r="D4" s="170"/>
      <c r="E4" s="171" t="s">
        <v>6</v>
      </c>
      <c r="F4" s="399"/>
      <c r="G4" s="399"/>
      <c r="H4" s="168"/>
      <c r="I4" s="169" t="s">
        <v>38</v>
      </c>
      <c r="J4" s="170"/>
      <c r="K4" s="171" t="s">
        <v>659</v>
      </c>
    </row>
    <row r="5" spans="1:13" s="72" customFormat="1" ht="13.5" x14ac:dyDescent="0.25">
      <c r="C5" s="82"/>
      <c r="D5" s="82"/>
      <c r="F5" s="207"/>
      <c r="G5" s="207"/>
      <c r="I5" s="82"/>
      <c r="J5" s="82"/>
    </row>
    <row r="6" spans="1:13" s="72" customFormat="1" ht="13.5" x14ac:dyDescent="0.25">
      <c r="A6" s="82"/>
      <c r="B6" s="82" t="s">
        <v>10</v>
      </c>
      <c r="C6" s="113" t="s">
        <v>111</v>
      </c>
      <c r="D6" s="479">
        <f>'3. Prototypes'!C17</f>
        <v>500</v>
      </c>
      <c r="E6" s="119"/>
      <c r="F6" s="207"/>
      <c r="G6" s="207"/>
      <c r="H6" s="82" t="s">
        <v>10</v>
      </c>
      <c r="I6" s="113" t="s">
        <v>111</v>
      </c>
      <c r="J6" s="479">
        <f>D6</f>
        <v>500</v>
      </c>
      <c r="K6" s="479">
        <f>J6</f>
        <v>500</v>
      </c>
    </row>
    <row r="7" spans="1:13" s="72" customFormat="1" ht="13.5" x14ac:dyDescent="0.25">
      <c r="A7" s="83"/>
      <c r="B7" s="120" t="s">
        <v>112</v>
      </c>
      <c r="C7" s="113"/>
      <c r="D7" s="118"/>
      <c r="E7" s="119"/>
      <c r="F7" s="207"/>
      <c r="G7" s="207"/>
      <c r="H7" s="120" t="s">
        <v>112</v>
      </c>
      <c r="I7" s="113"/>
      <c r="J7" s="118"/>
      <c r="K7" s="119"/>
    </row>
    <row r="8" spans="1:13" s="72" customFormat="1" ht="13.5" x14ac:dyDescent="0.25">
      <c r="A8" s="83"/>
      <c r="B8" s="124" t="s">
        <v>113</v>
      </c>
      <c r="C8" s="113" t="s">
        <v>115</v>
      </c>
      <c r="D8" s="161">
        <f>IF(D6&gt;=800,4,4.25)</f>
        <v>4.25</v>
      </c>
      <c r="E8" s="119" t="s">
        <v>232</v>
      </c>
      <c r="F8" s="207"/>
      <c r="G8" s="207"/>
      <c r="H8" s="124" t="s">
        <v>113</v>
      </c>
      <c r="I8" s="113" t="s">
        <v>115</v>
      </c>
      <c r="J8" s="161">
        <f>IF(J6&gt;=800,4,4.25)</f>
        <v>4.25</v>
      </c>
      <c r="K8" s="161">
        <f>K9/K6</f>
        <v>4.5407596069555716</v>
      </c>
    </row>
    <row r="9" spans="1:13" s="72" customFormat="1" ht="12.75" customHeight="1" x14ac:dyDescent="0.25">
      <c r="A9" s="82"/>
      <c r="B9" s="97" t="s">
        <v>114</v>
      </c>
      <c r="C9" s="113" t="s">
        <v>106</v>
      </c>
      <c r="D9" s="118">
        <f>D8*D6</f>
        <v>2125</v>
      </c>
      <c r="E9" s="119"/>
      <c r="F9" s="405"/>
      <c r="G9" s="405"/>
      <c r="H9" s="97" t="s">
        <v>114</v>
      </c>
      <c r="I9" s="113" t="s">
        <v>106</v>
      </c>
      <c r="J9" s="118">
        <f>J8*J6</f>
        <v>2125</v>
      </c>
      <c r="K9" s="412">
        <f>((J18+(K10*(12*K13))))/(12-(12*K13))</f>
        <v>2270.3798034777856</v>
      </c>
      <c r="L9" s="552" t="s">
        <v>660</v>
      </c>
      <c r="M9" s="123"/>
    </row>
    <row r="10" spans="1:13" s="72" customFormat="1" ht="13.5" x14ac:dyDescent="0.25">
      <c r="A10" s="82"/>
      <c r="B10" s="94" t="s">
        <v>117</v>
      </c>
      <c r="C10" s="113" t="s">
        <v>106</v>
      </c>
      <c r="D10" s="118">
        <v>25</v>
      </c>
      <c r="E10" s="162"/>
      <c r="F10" s="405"/>
      <c r="G10" s="405"/>
      <c r="H10" s="94" t="s">
        <v>117</v>
      </c>
      <c r="I10" s="113" t="s">
        <v>106</v>
      </c>
      <c r="J10" s="118">
        <v>25</v>
      </c>
      <c r="K10" s="553">
        <v>25</v>
      </c>
      <c r="L10" s="123"/>
      <c r="M10" s="123"/>
    </row>
    <row r="11" spans="1:13" s="72" customFormat="1" ht="13.5" x14ac:dyDescent="0.25">
      <c r="A11" s="82"/>
      <c r="B11" s="94" t="s">
        <v>503</v>
      </c>
      <c r="C11" s="113" t="s">
        <v>504</v>
      </c>
      <c r="D11" s="118">
        <f>D9+D10</f>
        <v>2150</v>
      </c>
      <c r="E11" s="162"/>
      <c r="F11" s="405"/>
      <c r="G11" s="405"/>
      <c r="H11" s="94" t="s">
        <v>503</v>
      </c>
      <c r="I11" s="113" t="s">
        <v>504</v>
      </c>
      <c r="J11" s="118">
        <f>J9+J10</f>
        <v>2150</v>
      </c>
      <c r="K11" s="553">
        <f>K9+K10</f>
        <v>2295.3798034777856</v>
      </c>
      <c r="L11" s="123"/>
      <c r="M11" s="123"/>
    </row>
    <row r="12" spans="1:13" s="72" customFormat="1" ht="13.5" x14ac:dyDescent="0.25">
      <c r="A12" s="82"/>
      <c r="B12" s="94" t="s">
        <v>3</v>
      </c>
      <c r="C12" s="113" t="s">
        <v>134</v>
      </c>
      <c r="D12" s="163">
        <v>0.05</v>
      </c>
      <c r="E12" s="164"/>
      <c r="F12" s="121"/>
      <c r="G12" s="121"/>
      <c r="H12" s="94" t="s">
        <v>3</v>
      </c>
      <c r="I12" s="113" t="s">
        <v>134</v>
      </c>
      <c r="J12" s="163">
        <v>0.05</v>
      </c>
      <c r="K12" s="554">
        <v>0.05</v>
      </c>
      <c r="L12" s="123"/>
      <c r="M12" s="123"/>
    </row>
    <row r="13" spans="1:13" s="72" customFormat="1" ht="13.5" x14ac:dyDescent="0.25">
      <c r="A13" s="82"/>
      <c r="B13" s="82" t="s">
        <v>116</v>
      </c>
      <c r="C13" s="341"/>
      <c r="D13" s="163">
        <v>0.3</v>
      </c>
      <c r="E13" s="119"/>
      <c r="H13" s="82" t="s">
        <v>116</v>
      </c>
      <c r="I13" s="341"/>
      <c r="J13" s="163">
        <v>0.3</v>
      </c>
      <c r="K13" s="554">
        <v>0.3</v>
      </c>
    </row>
    <row r="14" spans="1:13" s="72" customFormat="1" ht="13.5" x14ac:dyDescent="0.25">
      <c r="A14" s="82"/>
      <c r="B14" s="166" t="s">
        <v>293</v>
      </c>
      <c r="C14" s="115" t="s">
        <v>106</v>
      </c>
      <c r="D14" s="118">
        <f>D12*D11*12</f>
        <v>1290</v>
      </c>
      <c r="E14" s="119"/>
      <c r="H14" s="166" t="s">
        <v>293</v>
      </c>
      <c r="I14" s="115" t="s">
        <v>106</v>
      </c>
      <c r="J14" s="118">
        <f>J12*J11*12</f>
        <v>1290</v>
      </c>
      <c r="K14" s="553">
        <f>K12*K11*12</f>
        <v>1377.2278820866713</v>
      </c>
    </row>
    <row r="15" spans="1:13" s="72" customFormat="1" ht="13.5" x14ac:dyDescent="0.25">
      <c r="A15" s="82"/>
      <c r="B15" s="166" t="s">
        <v>432</v>
      </c>
      <c r="C15" s="115" t="s">
        <v>106</v>
      </c>
      <c r="D15" s="118">
        <f>D13*D11*12</f>
        <v>7740</v>
      </c>
      <c r="E15" s="119"/>
      <c r="H15" s="166" t="s">
        <v>432</v>
      </c>
      <c r="I15" s="115" t="s">
        <v>106</v>
      </c>
      <c r="J15" s="118">
        <f>J13*J11*12</f>
        <v>7740</v>
      </c>
      <c r="K15" s="553">
        <f>K13*K11*12</f>
        <v>8263.3672925200281</v>
      </c>
    </row>
    <row r="16" spans="1:13" s="72" customFormat="1" ht="13.5" x14ac:dyDescent="0.25">
      <c r="A16" s="82"/>
      <c r="B16" s="82" t="s">
        <v>292</v>
      </c>
      <c r="C16" s="115" t="s">
        <v>106</v>
      </c>
      <c r="D16" s="118">
        <f>(D9*12)-D15</f>
        <v>17760</v>
      </c>
      <c r="E16" s="119"/>
      <c r="H16" s="82" t="s">
        <v>292</v>
      </c>
      <c r="I16" s="115" t="s">
        <v>106</v>
      </c>
      <c r="J16" s="118">
        <f>(J9*12)-J15</f>
        <v>17760</v>
      </c>
      <c r="K16" s="553">
        <f>(K9*12)-K15</f>
        <v>18981.190349213401</v>
      </c>
    </row>
    <row r="17" spans="1:13" s="72" customFormat="1" ht="13.5" x14ac:dyDescent="0.25">
      <c r="A17" s="82"/>
      <c r="B17" s="82" t="s">
        <v>5</v>
      </c>
      <c r="C17" s="113" t="s">
        <v>136</v>
      </c>
      <c r="D17" s="167">
        <v>4.2500000000000003E-2</v>
      </c>
      <c r="E17" s="119"/>
      <c r="H17" s="82" t="s">
        <v>5</v>
      </c>
      <c r="I17" s="113" t="s">
        <v>136</v>
      </c>
      <c r="J17" s="167">
        <v>4.2500000000000003E-2</v>
      </c>
      <c r="K17" s="167"/>
    </row>
    <row r="18" spans="1:13" s="72" customFormat="1" ht="13.5" x14ac:dyDescent="0.25">
      <c r="A18" s="154"/>
      <c r="B18" s="102"/>
      <c r="C18" s="155"/>
      <c r="D18" s="156"/>
      <c r="E18" s="157"/>
      <c r="H18" s="548" t="s">
        <v>658</v>
      </c>
      <c r="I18" s="549"/>
      <c r="J18" s="550">
        <f>J16+'4. Pro Forma'!I69</f>
        <v>18981.190349213401</v>
      </c>
      <c r="K18" s="551"/>
      <c r="L18" s="546" t="s">
        <v>661</v>
      </c>
    </row>
    <row r="19" spans="1:13" x14ac:dyDescent="0.25">
      <c r="B19" s="66" t="s">
        <v>135</v>
      </c>
      <c r="E19" s="61"/>
      <c r="H19" s="66" t="s">
        <v>135</v>
      </c>
      <c r="K19" s="61"/>
      <c r="L19" s="539"/>
    </row>
    <row r="20" spans="1:13" x14ac:dyDescent="0.25">
      <c r="B20" s="57" t="s">
        <v>228</v>
      </c>
      <c r="E20" s="58"/>
      <c r="H20" s="57" t="s">
        <v>228</v>
      </c>
      <c r="K20" s="58"/>
      <c r="L20" s="539"/>
    </row>
    <row r="21" spans="1:13" x14ac:dyDescent="0.25">
      <c r="B21" s="57" t="s">
        <v>231</v>
      </c>
      <c r="H21" s="57" t="s">
        <v>231</v>
      </c>
    </row>
    <row r="22" spans="1:13" x14ac:dyDescent="0.25">
      <c r="K22" s="541"/>
    </row>
    <row r="24" spans="1:13" x14ac:dyDescent="0.25">
      <c r="K24" s="542"/>
    </row>
    <row r="25" spans="1:13" s="72" customFormat="1" ht="13.5" x14ac:dyDescent="0.25">
      <c r="A25" s="109"/>
      <c r="B25" s="78" t="s">
        <v>235</v>
      </c>
      <c r="C25" s="82"/>
      <c r="D25" s="82"/>
      <c r="K25" s="538"/>
    </row>
    <row r="26" spans="1:13" s="72" customFormat="1" ht="13.5" x14ac:dyDescent="0.25">
      <c r="A26" s="168"/>
      <c r="B26" s="168"/>
      <c r="C26" s="169" t="s">
        <v>38</v>
      </c>
      <c r="D26" s="170"/>
      <c r="E26" s="171" t="s">
        <v>6</v>
      </c>
      <c r="K26" s="538"/>
    </row>
    <row r="27" spans="1:13" s="72" customFormat="1" ht="13.5" x14ac:dyDescent="0.25">
      <c r="C27" s="82"/>
      <c r="D27" s="82"/>
      <c r="K27" s="538"/>
    </row>
    <row r="28" spans="1:13" s="72" customFormat="1" ht="13.5" x14ac:dyDescent="0.25">
      <c r="A28" s="82"/>
      <c r="B28" s="82" t="s">
        <v>10</v>
      </c>
      <c r="C28" s="113" t="s">
        <v>111</v>
      </c>
      <c r="D28" s="479">
        <f>'3. Prototypes'!C17</f>
        <v>500</v>
      </c>
      <c r="E28" s="119"/>
    </row>
    <row r="29" spans="1:13" s="72" customFormat="1" ht="13.5" x14ac:dyDescent="0.25">
      <c r="A29" s="83"/>
      <c r="B29" s="120" t="s">
        <v>480</v>
      </c>
      <c r="C29" s="113"/>
      <c r="D29" s="118"/>
      <c r="E29" s="119"/>
      <c r="H29" s="121"/>
    </row>
    <row r="30" spans="1:13" s="72" customFormat="1" ht="13.5" x14ac:dyDescent="0.25">
      <c r="A30" s="83"/>
      <c r="B30" s="124" t="s">
        <v>113</v>
      </c>
      <c r="C30" s="113" t="s">
        <v>115</v>
      </c>
      <c r="D30" s="161">
        <f>D31/D28</f>
        <v>3.7046250000000001</v>
      </c>
      <c r="E30" s="119"/>
    </row>
    <row r="31" spans="1:13" s="72" customFormat="1" ht="13.5" x14ac:dyDescent="0.25">
      <c r="A31" s="82"/>
      <c r="B31" s="97" t="s">
        <v>114</v>
      </c>
      <c r="C31" s="113" t="s">
        <v>106</v>
      </c>
      <c r="D31" s="118">
        <f>AVERAGE('8. Affordable Rents'!C51:D51)</f>
        <v>1852.3125</v>
      </c>
      <c r="E31" s="119" t="s">
        <v>285</v>
      </c>
      <c r="F31" s="122"/>
      <c r="G31" s="122"/>
      <c r="H31" s="123"/>
      <c r="I31" s="123"/>
      <c r="J31" s="123"/>
      <c r="K31" s="123"/>
      <c r="L31" s="123"/>
      <c r="M31" s="123"/>
    </row>
    <row r="32" spans="1:13" s="72" customFormat="1" ht="13.5" x14ac:dyDescent="0.25">
      <c r="A32" s="82"/>
      <c r="B32" s="94" t="s">
        <v>117</v>
      </c>
      <c r="C32" s="113" t="s">
        <v>106</v>
      </c>
      <c r="D32" s="118">
        <v>0</v>
      </c>
      <c r="E32" s="162"/>
      <c r="F32" s="122"/>
      <c r="G32" s="122"/>
      <c r="H32" s="123"/>
      <c r="I32" s="123"/>
      <c r="J32" s="123"/>
      <c r="K32" s="123"/>
      <c r="L32" s="123"/>
      <c r="M32" s="123"/>
    </row>
    <row r="33" spans="1:13" s="72" customFormat="1" ht="13.5" x14ac:dyDescent="0.25">
      <c r="A33" s="82"/>
      <c r="B33" s="94" t="s">
        <v>3</v>
      </c>
      <c r="C33" s="113" t="s">
        <v>134</v>
      </c>
      <c r="D33" s="163">
        <v>0.05</v>
      </c>
      <c r="E33" s="164"/>
      <c r="F33" s="121"/>
      <c r="G33" s="121"/>
      <c r="H33" s="123"/>
      <c r="I33" s="165"/>
      <c r="J33" s="123"/>
      <c r="K33" s="123"/>
      <c r="L33" s="123"/>
      <c r="M33" s="123"/>
    </row>
    <row r="34" spans="1:13" s="72" customFormat="1" ht="13.5" x14ac:dyDescent="0.25">
      <c r="A34" s="82"/>
      <c r="B34" s="82" t="s">
        <v>116</v>
      </c>
      <c r="C34" s="113" t="s">
        <v>134</v>
      </c>
      <c r="D34" s="163">
        <v>0.3</v>
      </c>
      <c r="E34" s="119"/>
      <c r="K34" s="540"/>
    </row>
    <row r="35" spans="1:13" s="72" customFormat="1" ht="13.5" x14ac:dyDescent="0.25">
      <c r="A35" s="82"/>
      <c r="B35" s="166" t="s">
        <v>293</v>
      </c>
      <c r="C35" s="115" t="s">
        <v>106</v>
      </c>
      <c r="D35" s="118">
        <f>D33*D31*12</f>
        <v>1111.3875</v>
      </c>
      <c r="E35" s="119"/>
    </row>
    <row r="36" spans="1:13" s="72" customFormat="1" ht="13.5" x14ac:dyDescent="0.25">
      <c r="A36" s="82"/>
      <c r="B36" s="166" t="s">
        <v>432</v>
      </c>
      <c r="C36" s="115" t="s">
        <v>106</v>
      </c>
      <c r="D36" s="118">
        <f>D35*D34*12</f>
        <v>4000.9949999999999</v>
      </c>
      <c r="E36" s="119"/>
    </row>
    <row r="37" spans="1:13" s="72" customFormat="1" ht="13.5" x14ac:dyDescent="0.25">
      <c r="A37" s="82"/>
      <c r="B37" s="82" t="s">
        <v>292</v>
      </c>
      <c r="C37" s="115" t="s">
        <v>106</v>
      </c>
      <c r="D37" s="118">
        <f>(D31*12)-D36</f>
        <v>18226.755000000001</v>
      </c>
      <c r="E37" s="119"/>
    </row>
    <row r="38" spans="1:13" s="72" customFormat="1" ht="13.5" x14ac:dyDescent="0.25">
      <c r="A38" s="83"/>
      <c r="B38" s="82" t="s">
        <v>5</v>
      </c>
      <c r="C38" s="113" t="s">
        <v>136</v>
      </c>
      <c r="D38" s="167">
        <v>4.2500000000000003E-2</v>
      </c>
      <c r="E38" s="119"/>
      <c r="F38" s="82"/>
      <c r="G38" s="82"/>
    </row>
    <row r="39" spans="1:13" s="72" customFormat="1" ht="13.5" x14ac:dyDescent="0.25">
      <c r="A39" s="83"/>
      <c r="B39" s="82"/>
      <c r="C39" s="113"/>
      <c r="D39" s="167"/>
      <c r="E39" s="119"/>
      <c r="F39" s="82"/>
      <c r="G39" s="82"/>
    </row>
    <row r="40" spans="1:13" x14ac:dyDescent="0.25">
      <c r="B40" s="66"/>
      <c r="E40" s="61"/>
    </row>
    <row r="41" spans="1:13" s="72" customFormat="1" ht="13.5" x14ac:dyDescent="0.25">
      <c r="A41" s="109"/>
      <c r="B41" s="78" t="s">
        <v>479</v>
      </c>
      <c r="C41" s="82"/>
      <c r="D41" s="82"/>
    </row>
    <row r="42" spans="1:13" ht="13.5" x14ac:dyDescent="0.25">
      <c r="B42" s="468"/>
      <c r="C42" s="169" t="s">
        <v>38</v>
      </c>
      <c r="D42" s="170"/>
      <c r="E42" s="171" t="s">
        <v>6</v>
      </c>
    </row>
    <row r="43" spans="1:13" ht="13.5" x14ac:dyDescent="0.25">
      <c r="A43" s="83"/>
      <c r="B43" s="120" t="s">
        <v>297</v>
      </c>
      <c r="C43" s="113"/>
      <c r="D43" s="118"/>
    </row>
    <row r="44" spans="1:13" s="66" customFormat="1" ht="13.5" x14ac:dyDescent="0.25">
      <c r="A44" s="83"/>
      <c r="B44" s="124" t="s">
        <v>113</v>
      </c>
      <c r="C44" s="149" t="s">
        <v>115</v>
      </c>
      <c r="D44" s="161">
        <f>2*12</f>
        <v>24</v>
      </c>
      <c r="E44" s="66" t="s">
        <v>295</v>
      </c>
    </row>
    <row r="45" spans="1:13" ht="13.5" x14ac:dyDescent="0.25">
      <c r="A45" s="82"/>
      <c r="B45" s="94" t="s">
        <v>3</v>
      </c>
      <c r="C45" s="113" t="s">
        <v>134</v>
      </c>
      <c r="D45" s="163">
        <v>0.05</v>
      </c>
    </row>
    <row r="46" spans="1:13" ht="13.5" x14ac:dyDescent="0.25">
      <c r="A46" s="82"/>
      <c r="B46" s="82" t="s">
        <v>116</v>
      </c>
      <c r="C46" s="113" t="s">
        <v>134</v>
      </c>
      <c r="D46" s="163">
        <v>0.1</v>
      </c>
      <c r="E46" s="57" t="s">
        <v>296</v>
      </c>
    </row>
    <row r="47" spans="1:13" ht="13.5" x14ac:dyDescent="0.25">
      <c r="A47" s="82"/>
      <c r="B47" s="166" t="s">
        <v>293</v>
      </c>
      <c r="C47" s="113" t="s">
        <v>115</v>
      </c>
      <c r="D47" s="161">
        <f>D45*D44</f>
        <v>1.2000000000000002</v>
      </c>
    </row>
    <row r="48" spans="1:13" ht="13.5" x14ac:dyDescent="0.25">
      <c r="A48" s="82"/>
      <c r="B48" s="166" t="s">
        <v>229</v>
      </c>
      <c r="C48" s="113" t="s">
        <v>115</v>
      </c>
      <c r="D48" s="306">
        <f>D47*D46*12</f>
        <v>1.4400000000000004</v>
      </c>
    </row>
    <row r="49" spans="1:4" ht="13.5" x14ac:dyDescent="0.25">
      <c r="A49" s="82"/>
      <c r="B49" s="82" t="s">
        <v>292</v>
      </c>
      <c r="C49" s="113" t="s">
        <v>115</v>
      </c>
      <c r="D49" s="118">
        <f>D44-D47-D48</f>
        <v>21.36</v>
      </c>
    </row>
    <row r="50" spans="1:4" ht="13.5" x14ac:dyDescent="0.25">
      <c r="A50" s="83"/>
      <c r="B50" s="82" t="s">
        <v>5</v>
      </c>
      <c r="C50" s="113" t="s">
        <v>136</v>
      </c>
      <c r="D50" s="167">
        <v>7.0000000000000007E-2</v>
      </c>
    </row>
  </sheetData>
  <sheetProtection algorithmName="SHA-512" hashValue="c0aShtoMSaAfBap1wU1C/T3i46LDI6JyfF9XTeQXFCUVVQoUrSTbdZW6La8HW0GbGsfnBKZS3oycZ6XKlAOzZg==" saltValue="ovV2g5LURwswSSReZvTOPw==" spinCount="100000" sheet="1" objects="1" scenarios="1"/>
  <pageMargins left="0.7" right="0.7" top="0.75" bottom="0.75" header="0.3" footer="0.3"/>
  <pageSetup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39997558519241921"/>
  </sheetPr>
  <dimension ref="A1:M56"/>
  <sheetViews>
    <sheetView topLeftCell="A22" workbookViewId="0">
      <selection activeCell="H23" sqref="H23"/>
    </sheetView>
  </sheetViews>
  <sheetFormatPr defaultColWidth="10.140625" defaultRowHeight="13.5" x14ac:dyDescent="0.25"/>
  <cols>
    <col min="1" max="1" width="3.85546875" style="263" customWidth="1"/>
    <col min="2" max="2" width="58.140625" style="263" bestFit="1" customWidth="1"/>
    <col min="3" max="3" width="10.85546875" style="263" bestFit="1" customWidth="1"/>
    <col min="4" max="4" width="13.85546875" style="263" bestFit="1" customWidth="1"/>
    <col min="5" max="5" width="13.85546875" style="263" customWidth="1"/>
    <col min="6" max="8" width="13.85546875" style="263" bestFit="1" customWidth="1"/>
    <col min="9" max="9" width="10.85546875" style="263" customWidth="1"/>
    <col min="10" max="10" width="14" style="263" customWidth="1"/>
    <col min="11" max="16384" width="10.140625" style="263"/>
  </cols>
  <sheetData>
    <row r="1" spans="1:11" x14ac:dyDescent="0.25">
      <c r="A1" s="262"/>
      <c r="E1" s="264"/>
      <c r="F1" s="264"/>
      <c r="G1" s="264"/>
      <c r="H1" s="264"/>
      <c r="I1" s="264"/>
    </row>
    <row r="2" spans="1:11" x14ac:dyDescent="0.25">
      <c r="A2" s="265"/>
      <c r="B2" s="262" t="s">
        <v>236</v>
      </c>
      <c r="E2" s="264"/>
      <c r="F2" s="264"/>
      <c r="G2" s="264"/>
      <c r="H2" s="264"/>
      <c r="I2" s="264"/>
      <c r="K2" s="266"/>
    </row>
    <row r="3" spans="1:11" s="267" customFormat="1" x14ac:dyDescent="0.2">
      <c r="B3" s="268" t="s">
        <v>237</v>
      </c>
      <c r="C3" s="269" t="s">
        <v>238</v>
      </c>
      <c r="D3" s="269" t="s">
        <v>239</v>
      </c>
      <c r="E3" s="269" t="s">
        <v>240</v>
      </c>
      <c r="F3" s="269" t="s">
        <v>241</v>
      </c>
    </row>
    <row r="4" spans="1:11" x14ac:dyDescent="0.25">
      <c r="B4" s="270" t="s">
        <v>242</v>
      </c>
      <c r="C4" s="271">
        <f>C48</f>
        <v>629</v>
      </c>
      <c r="D4" s="271">
        <f t="shared" ref="D4:F7" si="0">D48</f>
        <v>665</v>
      </c>
      <c r="E4" s="271">
        <f t="shared" si="0"/>
        <v>788.75</v>
      </c>
      <c r="F4" s="271">
        <f t="shared" si="0"/>
        <v>812.125</v>
      </c>
    </row>
    <row r="5" spans="1:11" x14ac:dyDescent="0.25">
      <c r="B5" s="270" t="s">
        <v>243</v>
      </c>
      <c r="C5" s="271">
        <f>C49</f>
        <v>1092.75</v>
      </c>
      <c r="D5" s="271">
        <f t="shared" si="0"/>
        <v>1161.875</v>
      </c>
      <c r="E5" s="271">
        <f t="shared" si="0"/>
        <v>1385</v>
      </c>
      <c r="F5" s="271">
        <f t="shared" si="0"/>
        <v>1441.5</v>
      </c>
      <c r="J5" s="266"/>
    </row>
    <row r="6" spans="1:11" x14ac:dyDescent="0.25">
      <c r="B6" s="270" t="s">
        <v>244</v>
      </c>
      <c r="C6" s="271">
        <f>C50</f>
        <v>1326.6920934319858</v>
      </c>
      <c r="D6" s="271">
        <f t="shared" si="0"/>
        <v>1412.4997703846509</v>
      </c>
      <c r="E6" s="271">
        <f t="shared" si="0"/>
        <v>1685.7689552663144</v>
      </c>
      <c r="F6" s="271">
        <f t="shared" si="0"/>
        <v>1758.999709230814</v>
      </c>
    </row>
    <row r="7" spans="1:11" x14ac:dyDescent="0.25">
      <c r="B7" s="270" t="s">
        <v>245</v>
      </c>
      <c r="C7" s="271">
        <f>C51</f>
        <v>1792.75</v>
      </c>
      <c r="D7" s="271">
        <f t="shared" si="0"/>
        <v>1911.875</v>
      </c>
      <c r="E7" s="271">
        <f t="shared" si="0"/>
        <v>2285</v>
      </c>
      <c r="F7" s="271">
        <f t="shared" si="0"/>
        <v>2391.5</v>
      </c>
      <c r="J7" s="266"/>
    </row>
    <row r="8" spans="1:11" x14ac:dyDescent="0.25">
      <c r="B8" s="270" t="s">
        <v>246</v>
      </c>
      <c r="C8" s="271">
        <f t="shared" ref="C8:F9" si="1">C52</f>
        <v>1859</v>
      </c>
      <c r="D8" s="271">
        <f t="shared" si="1"/>
        <v>1982.5</v>
      </c>
      <c r="E8" s="271">
        <f t="shared" si="1"/>
        <v>2370</v>
      </c>
      <c r="F8" s="271">
        <f t="shared" si="1"/>
        <v>2481.5</v>
      </c>
      <c r="J8" s="266"/>
    </row>
    <row r="9" spans="1:11" x14ac:dyDescent="0.25">
      <c r="B9" s="272" t="s">
        <v>247</v>
      </c>
      <c r="C9" s="273">
        <f t="shared" si="1"/>
        <v>2244</v>
      </c>
      <c r="D9" s="273">
        <f t="shared" si="1"/>
        <v>2395</v>
      </c>
      <c r="E9" s="273">
        <f t="shared" si="1"/>
        <v>2865</v>
      </c>
      <c r="F9" s="273">
        <f t="shared" si="1"/>
        <v>3004</v>
      </c>
      <c r="J9" s="274"/>
    </row>
    <row r="10" spans="1:11" x14ac:dyDescent="0.25">
      <c r="B10" s="270" t="s">
        <v>248</v>
      </c>
      <c r="C10" s="275"/>
      <c r="D10" s="275"/>
      <c r="E10" s="275"/>
      <c r="F10" s="275"/>
      <c r="J10" s="266"/>
    </row>
    <row r="11" spans="1:11" x14ac:dyDescent="0.25">
      <c r="B11" s="270"/>
      <c r="C11" s="275"/>
      <c r="D11" s="275"/>
      <c r="E11" s="275"/>
      <c r="F11" s="275"/>
      <c r="J11" s="266"/>
    </row>
    <row r="12" spans="1:11" x14ac:dyDescent="0.25">
      <c r="C12" s="275"/>
      <c r="D12" s="275"/>
      <c r="E12" s="275"/>
      <c r="F12" s="275"/>
      <c r="J12" s="266"/>
    </row>
    <row r="13" spans="1:11" x14ac:dyDescent="0.25">
      <c r="A13" s="276"/>
      <c r="B13" s="277" t="s">
        <v>249</v>
      </c>
      <c r="C13" s="278"/>
      <c r="D13" s="278"/>
      <c r="E13" s="278"/>
      <c r="F13" s="278"/>
      <c r="J13" s="266"/>
    </row>
    <row r="14" spans="1:11" x14ac:dyDescent="0.25">
      <c r="B14" s="279" t="s">
        <v>250</v>
      </c>
      <c r="C14" s="280" t="s">
        <v>251</v>
      </c>
      <c r="D14" s="280" t="s">
        <v>252</v>
      </c>
      <c r="E14" s="280" t="s">
        <v>253</v>
      </c>
      <c r="F14" s="280" t="s">
        <v>254</v>
      </c>
      <c r="G14" s="280" t="s">
        <v>255</v>
      </c>
      <c r="H14" s="280" t="s">
        <v>256</v>
      </c>
      <c r="I14" s="264"/>
      <c r="J14" s="263" t="s">
        <v>257</v>
      </c>
    </row>
    <row r="15" spans="1:11" x14ac:dyDescent="0.25">
      <c r="B15" s="270" t="s">
        <v>242</v>
      </c>
      <c r="C15" s="264">
        <v>27800</v>
      </c>
      <c r="D15" s="264">
        <v>31800</v>
      </c>
      <c r="E15" s="264">
        <v>35750</v>
      </c>
      <c r="F15" s="264">
        <v>39700</v>
      </c>
      <c r="G15" s="264">
        <v>42900</v>
      </c>
      <c r="H15" s="264">
        <v>46100</v>
      </c>
      <c r="I15" s="264"/>
    </row>
    <row r="16" spans="1:11" x14ac:dyDescent="0.25">
      <c r="B16" s="270" t="s">
        <v>243</v>
      </c>
      <c r="C16" s="264">
        <v>46350</v>
      </c>
      <c r="D16" s="264">
        <v>53000</v>
      </c>
      <c r="E16" s="264">
        <v>59600</v>
      </c>
      <c r="F16" s="264">
        <v>66200</v>
      </c>
      <c r="G16" s="264">
        <v>71500</v>
      </c>
      <c r="H16" s="264">
        <v>76800</v>
      </c>
      <c r="I16" s="264"/>
    </row>
    <row r="17" spans="1:13" x14ac:dyDescent="0.25">
      <c r="B17" s="270" t="s">
        <v>245</v>
      </c>
      <c r="C17" s="264">
        <v>74350</v>
      </c>
      <c r="D17" s="264">
        <v>85000</v>
      </c>
      <c r="E17" s="264">
        <v>95600</v>
      </c>
      <c r="F17" s="264">
        <v>106200</v>
      </c>
      <c r="G17" s="264">
        <v>114700</v>
      </c>
      <c r="H17" s="264">
        <v>123200</v>
      </c>
      <c r="I17" s="264"/>
    </row>
    <row r="18" spans="1:13" x14ac:dyDescent="0.25">
      <c r="B18" s="270" t="s">
        <v>246</v>
      </c>
      <c r="C18" s="264">
        <v>77000</v>
      </c>
      <c r="D18" s="264">
        <v>88000</v>
      </c>
      <c r="E18" s="264">
        <v>99000</v>
      </c>
      <c r="F18" s="281">
        <v>110000</v>
      </c>
      <c r="G18" s="264">
        <v>118800</v>
      </c>
      <c r="H18" s="264">
        <v>127600</v>
      </c>
      <c r="I18" s="264"/>
    </row>
    <row r="19" spans="1:13" x14ac:dyDescent="0.25">
      <c r="B19" s="272" t="s">
        <v>247</v>
      </c>
      <c r="C19" s="282">
        <v>92400</v>
      </c>
      <c r="D19" s="282">
        <v>105600</v>
      </c>
      <c r="E19" s="282">
        <v>118800</v>
      </c>
      <c r="F19" s="282">
        <v>132000</v>
      </c>
      <c r="G19" s="282">
        <v>142550</v>
      </c>
      <c r="H19" s="282">
        <v>153100</v>
      </c>
      <c r="I19" s="264"/>
      <c r="J19" s="283"/>
    </row>
    <row r="20" spans="1:13" x14ac:dyDescent="0.25">
      <c r="B20" s="270"/>
      <c r="E20" s="264"/>
      <c r="F20" s="264"/>
      <c r="G20" s="264"/>
      <c r="H20" s="264"/>
      <c r="I20" s="264"/>
    </row>
    <row r="21" spans="1:13" x14ac:dyDescent="0.25">
      <c r="A21" s="262"/>
      <c r="B21" s="270"/>
      <c r="C21" s="264"/>
      <c r="D21" s="264"/>
      <c r="E21" s="264"/>
      <c r="F21" s="264"/>
      <c r="G21" s="264"/>
      <c r="H21" s="264"/>
      <c r="I21" s="264"/>
      <c r="J21" s="264"/>
      <c r="K21" s="264"/>
      <c r="L21" s="264"/>
      <c r="M21" s="264"/>
    </row>
    <row r="22" spans="1:13" x14ac:dyDescent="0.25">
      <c r="B22" s="284" t="s">
        <v>258</v>
      </c>
      <c r="C22" s="280" t="s">
        <v>238</v>
      </c>
      <c r="D22" s="280" t="s">
        <v>239</v>
      </c>
      <c r="E22" s="280" t="s">
        <v>240</v>
      </c>
      <c r="F22" s="280" t="s">
        <v>241</v>
      </c>
      <c r="G22" s="264"/>
      <c r="H22" s="264"/>
      <c r="I22" s="264"/>
      <c r="J22" s="263" t="s">
        <v>259</v>
      </c>
      <c r="K22" s="264"/>
      <c r="L22" s="264"/>
      <c r="M22" s="264"/>
    </row>
    <row r="23" spans="1:13" x14ac:dyDescent="0.25">
      <c r="B23" s="270" t="s">
        <v>242</v>
      </c>
      <c r="C23" s="264">
        <f>C15</f>
        <v>27800</v>
      </c>
      <c r="D23" s="264">
        <f>AVERAGE(C15:D15)</f>
        <v>29800</v>
      </c>
      <c r="E23" s="264">
        <f>E15</f>
        <v>35750</v>
      </c>
      <c r="F23" s="264">
        <f>AVERAGE(E15:F15)</f>
        <v>37725</v>
      </c>
      <c r="G23" s="264"/>
      <c r="H23" s="264"/>
      <c r="I23" s="264"/>
      <c r="J23" s="264" t="s">
        <v>260</v>
      </c>
      <c r="K23" s="264"/>
      <c r="L23" s="264"/>
      <c r="M23" s="264"/>
    </row>
    <row r="24" spans="1:13" x14ac:dyDescent="0.25">
      <c r="B24" s="270" t="s">
        <v>243</v>
      </c>
      <c r="C24" s="264">
        <f>C16</f>
        <v>46350</v>
      </c>
      <c r="D24" s="264">
        <f>AVERAGE(C16:D16)</f>
        <v>49675</v>
      </c>
      <c r="E24" s="264">
        <f>E16</f>
        <v>59600</v>
      </c>
      <c r="F24" s="264">
        <f>AVERAGE(E16:F16)</f>
        <v>62900</v>
      </c>
      <c r="G24" s="264"/>
      <c r="H24" s="264"/>
      <c r="I24" s="264"/>
      <c r="J24" s="264"/>
      <c r="K24" s="264"/>
      <c r="L24" s="264"/>
      <c r="M24" s="264"/>
    </row>
    <row r="25" spans="1:13" x14ac:dyDescent="0.25">
      <c r="B25" s="270" t="s">
        <v>245</v>
      </c>
      <c r="C25" s="264">
        <f>C17</f>
        <v>74350</v>
      </c>
      <c r="D25" s="264">
        <f>AVERAGE(C17:D17)</f>
        <v>79675</v>
      </c>
      <c r="E25" s="264">
        <f>E17</f>
        <v>95600</v>
      </c>
      <c r="F25" s="264">
        <f>AVERAGE(E17:F17)</f>
        <v>100900</v>
      </c>
      <c r="I25" s="264"/>
      <c r="J25" s="264"/>
      <c r="K25" s="264"/>
      <c r="L25" s="264"/>
      <c r="M25" s="264"/>
    </row>
    <row r="26" spans="1:13" x14ac:dyDescent="0.25">
      <c r="B26" s="270" t="s">
        <v>246</v>
      </c>
      <c r="C26" s="264">
        <f>C18</f>
        <v>77000</v>
      </c>
      <c r="D26" s="264">
        <f>AVERAGE(C18:D18)</f>
        <v>82500</v>
      </c>
      <c r="E26" s="264">
        <f>E18</f>
        <v>99000</v>
      </c>
      <c r="F26" s="264">
        <f>AVERAGE(E18:F18)</f>
        <v>104500</v>
      </c>
      <c r="I26" s="264"/>
      <c r="K26" s="264"/>
      <c r="L26" s="264"/>
      <c r="M26" s="264"/>
    </row>
    <row r="27" spans="1:13" x14ac:dyDescent="0.25">
      <c r="B27" s="272" t="s">
        <v>247</v>
      </c>
      <c r="C27" s="285">
        <f>C19</f>
        <v>92400</v>
      </c>
      <c r="D27" s="285">
        <f>AVERAGE(C19:D19)</f>
        <v>99000</v>
      </c>
      <c r="E27" s="285">
        <f>E19</f>
        <v>118800</v>
      </c>
      <c r="F27" s="285">
        <f>AVERAGE(E19:F19)</f>
        <v>125400</v>
      </c>
      <c r="H27" s="283"/>
    </row>
    <row r="28" spans="1:13" x14ac:dyDescent="0.25">
      <c r="C28" s="264"/>
      <c r="D28" s="264"/>
      <c r="E28" s="264"/>
      <c r="F28" s="264"/>
      <c r="H28" s="286"/>
    </row>
    <row r="29" spans="1:13" x14ac:dyDescent="0.25">
      <c r="B29" s="262"/>
      <c r="C29" s="264"/>
      <c r="D29" s="264"/>
      <c r="E29" s="264"/>
      <c r="F29" s="264"/>
    </row>
    <row r="30" spans="1:13" x14ac:dyDescent="0.25">
      <c r="B30" s="287" t="s">
        <v>261</v>
      </c>
      <c r="C30" s="288" t="s">
        <v>238</v>
      </c>
      <c r="D30" s="280" t="s">
        <v>239</v>
      </c>
      <c r="E30" s="280" t="s">
        <v>240</v>
      </c>
      <c r="F30" s="280" t="s">
        <v>241</v>
      </c>
      <c r="G30" s="289"/>
      <c r="H30" s="290"/>
      <c r="I30" s="278"/>
      <c r="J30" s="263" t="s">
        <v>262</v>
      </c>
      <c r="K30" s="278"/>
    </row>
    <row r="31" spans="1:13" x14ac:dyDescent="0.25">
      <c r="B31" s="289" t="s">
        <v>263</v>
      </c>
      <c r="C31" s="291">
        <v>31</v>
      </c>
      <c r="D31" s="291">
        <v>36</v>
      </c>
      <c r="E31" s="291">
        <v>51</v>
      </c>
      <c r="F31" s="291">
        <v>69</v>
      </c>
      <c r="G31" s="289"/>
      <c r="H31" s="289"/>
      <c r="I31" s="291"/>
      <c r="J31" s="291"/>
      <c r="K31" s="291"/>
    </row>
    <row r="32" spans="1:13" x14ac:dyDescent="0.25">
      <c r="B32" s="289" t="s">
        <v>264</v>
      </c>
      <c r="C32" s="292"/>
      <c r="D32" s="278"/>
      <c r="E32" s="278"/>
      <c r="F32" s="278"/>
      <c r="G32" s="289"/>
      <c r="H32" s="290"/>
      <c r="I32" s="278"/>
      <c r="K32" s="278"/>
    </row>
    <row r="33" spans="2:11" x14ac:dyDescent="0.25">
      <c r="B33" s="289" t="s">
        <v>265</v>
      </c>
      <c r="C33" s="291">
        <v>19</v>
      </c>
      <c r="D33" s="291">
        <v>24</v>
      </c>
      <c r="E33" s="291">
        <v>26</v>
      </c>
      <c r="F33" s="291">
        <v>29</v>
      </c>
      <c r="G33" s="289"/>
      <c r="H33" s="289"/>
      <c r="I33" s="291"/>
      <c r="K33" s="291"/>
    </row>
    <row r="34" spans="2:11" x14ac:dyDescent="0.25">
      <c r="B34" s="289" t="s">
        <v>266</v>
      </c>
      <c r="C34" s="291"/>
      <c r="D34" s="291"/>
      <c r="E34" s="291"/>
      <c r="F34" s="291"/>
      <c r="G34" s="289"/>
      <c r="H34" s="289"/>
      <c r="I34" s="291"/>
      <c r="J34" s="291"/>
      <c r="K34" s="291"/>
    </row>
    <row r="35" spans="2:11" x14ac:dyDescent="0.25">
      <c r="B35" s="289" t="s">
        <v>267</v>
      </c>
      <c r="C35" s="291">
        <v>4</v>
      </c>
      <c r="D35" s="291">
        <v>4</v>
      </c>
      <c r="E35" s="291">
        <v>7</v>
      </c>
      <c r="F35" s="291">
        <v>8</v>
      </c>
      <c r="G35" s="289"/>
      <c r="H35" s="289"/>
      <c r="I35" s="291"/>
      <c r="J35" s="291"/>
      <c r="K35" s="291"/>
    </row>
    <row r="36" spans="2:11" x14ac:dyDescent="0.25">
      <c r="B36" s="289" t="s">
        <v>268</v>
      </c>
      <c r="C36" s="291"/>
      <c r="D36" s="291"/>
      <c r="E36" s="291"/>
      <c r="F36" s="291"/>
      <c r="G36" s="289"/>
      <c r="H36" s="289"/>
      <c r="I36" s="291"/>
      <c r="J36" s="291"/>
      <c r="K36" s="291"/>
    </row>
    <row r="37" spans="2:11" x14ac:dyDescent="0.25">
      <c r="B37" s="289" t="s">
        <v>269</v>
      </c>
      <c r="C37" s="293"/>
      <c r="D37" s="293"/>
      <c r="E37" s="293"/>
      <c r="F37" s="293"/>
      <c r="G37" s="289"/>
      <c r="H37" s="289"/>
      <c r="I37" s="293"/>
      <c r="J37" s="293"/>
      <c r="K37" s="293"/>
    </row>
    <row r="38" spans="2:11" x14ac:dyDescent="0.25">
      <c r="B38" s="289" t="s">
        <v>270</v>
      </c>
      <c r="C38" s="291">
        <v>12</v>
      </c>
      <c r="D38" s="291">
        <v>16</v>
      </c>
      <c r="E38" s="291">
        <v>21</v>
      </c>
      <c r="F38" s="291">
        <v>25</v>
      </c>
      <c r="G38" s="289"/>
      <c r="H38" s="289"/>
      <c r="I38" s="291"/>
      <c r="J38" s="291"/>
      <c r="K38" s="291"/>
    </row>
    <row r="39" spans="2:11" x14ac:dyDescent="0.25">
      <c r="B39" s="289" t="s">
        <v>271</v>
      </c>
      <c r="C39" s="291"/>
      <c r="D39" s="291"/>
      <c r="E39" s="291"/>
      <c r="F39" s="291"/>
      <c r="G39" s="289"/>
      <c r="H39" s="289"/>
      <c r="I39" s="291"/>
      <c r="J39" s="291"/>
      <c r="K39" s="291"/>
    </row>
    <row r="40" spans="2:11" x14ac:dyDescent="0.25">
      <c r="B40" s="289" t="s">
        <v>272</v>
      </c>
      <c r="C40" s="291"/>
      <c r="D40" s="291"/>
      <c r="E40" s="291"/>
      <c r="F40" s="291"/>
      <c r="G40" s="289"/>
      <c r="H40" s="289"/>
      <c r="I40" s="291"/>
      <c r="J40" s="291"/>
      <c r="K40" s="291"/>
    </row>
    <row r="41" spans="2:11" x14ac:dyDescent="0.25">
      <c r="B41" s="289" t="s">
        <v>273</v>
      </c>
      <c r="C41" s="291"/>
      <c r="D41" s="291"/>
      <c r="E41" s="291"/>
      <c r="F41" s="291"/>
      <c r="G41" s="289"/>
      <c r="H41" s="289"/>
      <c r="I41" s="291"/>
      <c r="J41" s="291"/>
      <c r="K41" s="291"/>
    </row>
    <row r="42" spans="2:11" x14ac:dyDescent="0.25">
      <c r="B42" s="289" t="s">
        <v>274</v>
      </c>
      <c r="C42" s="291"/>
      <c r="D42" s="291"/>
      <c r="E42" s="291"/>
      <c r="F42" s="291"/>
      <c r="G42" s="289"/>
      <c r="H42" s="289"/>
      <c r="I42" s="291"/>
      <c r="J42" s="291"/>
      <c r="K42" s="291"/>
    </row>
    <row r="43" spans="2:11" x14ac:dyDescent="0.25">
      <c r="B43" s="289" t="s">
        <v>275</v>
      </c>
      <c r="C43" s="291"/>
      <c r="D43" s="291"/>
      <c r="E43" s="291"/>
      <c r="F43" s="291"/>
      <c r="G43" s="289"/>
      <c r="H43" s="289"/>
      <c r="I43" s="291"/>
      <c r="J43" s="291"/>
      <c r="K43" s="291"/>
    </row>
    <row r="44" spans="2:11" x14ac:dyDescent="0.25">
      <c r="B44" s="294" t="s">
        <v>100</v>
      </c>
      <c r="C44" s="295">
        <f>C33+C35+C31+C38</f>
        <v>66</v>
      </c>
      <c r="D44" s="295">
        <f t="shared" ref="D44:F44" si="2">D33+D35+D31+D38</f>
        <v>80</v>
      </c>
      <c r="E44" s="295">
        <f t="shared" si="2"/>
        <v>105</v>
      </c>
      <c r="F44" s="295">
        <f t="shared" si="2"/>
        <v>131</v>
      </c>
      <c r="G44" s="296"/>
      <c r="H44" s="290"/>
      <c r="I44" s="297"/>
      <c r="J44" s="263" t="s">
        <v>276</v>
      </c>
      <c r="K44" s="297"/>
    </row>
    <row r="45" spans="2:11" x14ac:dyDescent="0.25">
      <c r="C45" s="264"/>
      <c r="D45" s="264"/>
      <c r="E45" s="264"/>
      <c r="F45" s="264"/>
    </row>
    <row r="46" spans="2:11" x14ac:dyDescent="0.25">
      <c r="C46" s="264"/>
      <c r="D46" s="264"/>
      <c r="E46" s="264"/>
      <c r="F46" s="264"/>
    </row>
    <row r="47" spans="2:11" x14ac:dyDescent="0.25">
      <c r="B47" s="284" t="s">
        <v>237</v>
      </c>
      <c r="C47" s="280" t="s">
        <v>238</v>
      </c>
      <c r="D47" s="280" t="s">
        <v>239</v>
      </c>
      <c r="E47" s="280" t="s">
        <v>240</v>
      </c>
      <c r="F47" s="280" t="s">
        <v>241</v>
      </c>
      <c r="H47" s="262"/>
      <c r="J47" s="289" t="s">
        <v>277</v>
      </c>
    </row>
    <row r="48" spans="2:11" x14ac:dyDescent="0.25">
      <c r="B48" s="270" t="s">
        <v>242</v>
      </c>
      <c r="C48" s="264">
        <f>((C23*$C$56)/12)-C$44</f>
        <v>629</v>
      </c>
      <c r="D48" s="264">
        <f t="shared" ref="D48:F49" si="3">((D23*$C$56)/12)-D$44</f>
        <v>665</v>
      </c>
      <c r="E48" s="264">
        <f t="shared" si="3"/>
        <v>788.75</v>
      </c>
      <c r="F48" s="264">
        <f t="shared" si="3"/>
        <v>812.125</v>
      </c>
      <c r="H48" s="298"/>
      <c r="J48" s="263" t="s">
        <v>278</v>
      </c>
    </row>
    <row r="49" spans="2:11" x14ac:dyDescent="0.25">
      <c r="B49" s="270" t="s">
        <v>243</v>
      </c>
      <c r="C49" s="264">
        <f>((C24*$C$56)/12)-C$44</f>
        <v>1092.75</v>
      </c>
      <c r="D49" s="264">
        <f t="shared" si="3"/>
        <v>1161.875</v>
      </c>
      <c r="E49" s="264">
        <f t="shared" si="3"/>
        <v>1385</v>
      </c>
      <c r="F49" s="264">
        <f t="shared" si="3"/>
        <v>1441.5</v>
      </c>
      <c r="H49" s="299"/>
    </row>
    <row r="50" spans="2:11" x14ac:dyDescent="0.25">
      <c r="B50" s="270" t="s">
        <v>244</v>
      </c>
      <c r="C50" s="264">
        <f>((((C24+C25)/2.166667)*$C$56)/12)-C$44</f>
        <v>1326.6920934319858</v>
      </c>
      <c r="D50" s="264">
        <f t="shared" ref="D50:F50" si="4">((((D24+D25)/2.166667)*$C$56)/12)-D$44</f>
        <v>1412.4997703846509</v>
      </c>
      <c r="E50" s="264">
        <f t="shared" si="4"/>
        <v>1685.7689552663144</v>
      </c>
      <c r="F50" s="264">
        <f t="shared" si="4"/>
        <v>1758.999709230814</v>
      </c>
      <c r="H50" s="300"/>
      <c r="J50" s="263" t="s">
        <v>279</v>
      </c>
    </row>
    <row r="51" spans="2:11" x14ac:dyDescent="0.25">
      <c r="B51" s="270" t="s">
        <v>245</v>
      </c>
      <c r="C51" s="264">
        <f>((C25*$C$56)/12)-C$44</f>
        <v>1792.75</v>
      </c>
      <c r="D51" s="264">
        <f t="shared" ref="D51:F53" si="5">((D25*$C$56)/12)-D$44</f>
        <v>1911.875</v>
      </c>
      <c r="E51" s="264">
        <f t="shared" si="5"/>
        <v>2285</v>
      </c>
      <c r="F51" s="264">
        <f t="shared" si="5"/>
        <v>2391.5</v>
      </c>
      <c r="H51" s="300"/>
    </row>
    <row r="52" spans="2:11" x14ac:dyDescent="0.25">
      <c r="B52" s="270" t="s">
        <v>246</v>
      </c>
      <c r="C52" s="264">
        <f>((C26*$C$56)/12)-C$44</f>
        <v>1859</v>
      </c>
      <c r="D52" s="264">
        <f t="shared" si="5"/>
        <v>1982.5</v>
      </c>
      <c r="E52" s="264">
        <f t="shared" si="5"/>
        <v>2370</v>
      </c>
      <c r="F52" s="264">
        <f t="shared" si="5"/>
        <v>2481.5</v>
      </c>
      <c r="H52" s="300"/>
      <c r="K52" s="283"/>
    </row>
    <row r="53" spans="2:11" x14ac:dyDescent="0.25">
      <c r="B53" s="272" t="s">
        <v>247</v>
      </c>
      <c r="C53" s="285">
        <f>((C27*$C$56)/12)-C$44</f>
        <v>2244</v>
      </c>
      <c r="D53" s="285">
        <f t="shared" si="5"/>
        <v>2395</v>
      </c>
      <c r="E53" s="285">
        <f t="shared" si="5"/>
        <v>2865</v>
      </c>
      <c r="F53" s="285">
        <f t="shared" si="5"/>
        <v>3004</v>
      </c>
      <c r="H53" s="300"/>
      <c r="K53" s="283"/>
    </row>
    <row r="54" spans="2:11" x14ac:dyDescent="0.25">
      <c r="K54" s="283"/>
    </row>
    <row r="55" spans="2:11" ht="14.25" thickBot="1" x14ac:dyDescent="0.3"/>
    <row r="56" spans="2:11" ht="14.25" thickBot="1" x14ac:dyDescent="0.3">
      <c r="B56" s="301" t="s">
        <v>280</v>
      </c>
      <c r="C56" s="393">
        <v>0.3</v>
      </c>
    </row>
  </sheetData>
  <sheetProtection algorithmName="SHA-512" hashValue="xQ2LM1co/+e8zXS59SzkOPPuo/U4g/j5z2QbL/TFu/MiX7OkR2ByeVYZW3k80a1Oi37t0u+puBGvIp2/a7odlQ==" saltValue="8oXPBXH2fCVM4QjN/PjPTg==" spinCount="100000" sheet="1" objects="1" scenarios="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0" tint="-0.499984740745262"/>
  </sheetPr>
  <dimension ref="A1"/>
  <sheetViews>
    <sheetView topLeftCell="A3" workbookViewId="0">
      <selection activeCell="B45" sqref="B45"/>
    </sheetView>
  </sheetViews>
  <sheetFormatPr defaultColWidth="9" defaultRowHeight="12" x14ac:dyDescent="0.2"/>
  <sheetData/>
  <sheetProtection algorithmName="SHA-512" hashValue="pGsQg3MBPUk7N0w3Kl1YzZSV4aF3ox9/0v5NygbIOfqd818e9l5xT+irYPkLHaYcXN5gEFNNJ8L1dVspq8SQGw==" saltValue="FGuxb0ijQk3OIHCpSr7xGQ=="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5050"/>
    <pageSetUpPr fitToPage="1"/>
  </sheetPr>
  <dimension ref="A1:Y161"/>
  <sheetViews>
    <sheetView topLeftCell="A11" zoomScale="120" zoomScaleNormal="120" workbookViewId="0">
      <selection activeCell="B44" sqref="B44"/>
    </sheetView>
  </sheetViews>
  <sheetFormatPr defaultColWidth="9" defaultRowHeight="12.75" x14ac:dyDescent="0.25"/>
  <cols>
    <col min="1" max="1" width="1.85546875" style="59" customWidth="1"/>
    <col min="2" max="2" width="35.85546875" style="57" bestFit="1" customWidth="1"/>
    <col min="3" max="3" width="8.140625" style="57" customWidth="1"/>
    <col min="4" max="4" width="15" style="57" hidden="1" customWidth="1"/>
    <col min="5" max="5" width="15.42578125" style="57" bestFit="1" customWidth="1"/>
    <col min="6" max="9" width="14.42578125" style="57" customWidth="1"/>
    <col min="10" max="10" width="15.42578125" style="57" customWidth="1"/>
    <col min="11" max="11" width="15.42578125" style="57" hidden="1" customWidth="1"/>
    <col min="12" max="12" width="19.140625" style="57" customWidth="1"/>
    <col min="13" max="13" width="15.42578125" style="57" customWidth="1"/>
    <col min="14" max="15" width="15.42578125" style="57" hidden="1" customWidth="1"/>
    <col min="16" max="16" width="22" style="57" customWidth="1"/>
    <col min="17" max="17" width="16.85546875" style="57" customWidth="1"/>
    <col min="18" max="18" width="16" style="57" customWidth="1"/>
    <col min="19" max="16384" width="9" style="57"/>
  </cols>
  <sheetData>
    <row r="1" spans="1:18" s="59" customFormat="1" ht="15.75" x14ac:dyDescent="0.3">
      <c r="A1" s="71" t="s">
        <v>41</v>
      </c>
      <c r="E1" s="56"/>
      <c r="F1" s="56"/>
      <c r="G1" s="56"/>
      <c r="H1" s="56"/>
      <c r="I1" s="56"/>
      <c r="J1" s="56"/>
    </row>
    <row r="2" spans="1:18" s="82" customFormat="1" ht="13.5" x14ac:dyDescent="0.25">
      <c r="A2" s="78"/>
      <c r="D2" s="745" t="s">
        <v>302</v>
      </c>
      <c r="E2" s="745"/>
      <c r="F2" s="745"/>
      <c r="G2" s="745"/>
      <c r="H2" s="746" t="s">
        <v>303</v>
      </c>
      <c r="I2" s="746"/>
      <c r="J2" s="747" t="s">
        <v>510</v>
      </c>
      <c r="K2" s="747"/>
      <c r="L2" s="747"/>
      <c r="M2" s="747"/>
      <c r="N2" s="747"/>
      <c r="O2" s="747"/>
      <c r="P2" s="747"/>
      <c r="Q2" s="748" t="s">
        <v>570</v>
      </c>
      <c r="R2" s="748"/>
    </row>
    <row r="3" spans="1:18" s="72" customFormat="1" ht="38.25" x14ac:dyDescent="0.25">
      <c r="A3" s="109"/>
      <c r="B3" s="78" t="s">
        <v>124</v>
      </c>
      <c r="C3" s="78"/>
      <c r="D3" s="338" t="s">
        <v>509</v>
      </c>
      <c r="E3" s="531" t="s">
        <v>491</v>
      </c>
      <c r="F3" s="338" t="s">
        <v>492</v>
      </c>
      <c r="G3" s="531" t="s">
        <v>493</v>
      </c>
      <c r="H3" s="339" t="s">
        <v>494</v>
      </c>
      <c r="I3" s="339" t="s">
        <v>495</v>
      </c>
      <c r="J3" s="401" t="s">
        <v>511</v>
      </c>
      <c r="K3" s="391" t="s">
        <v>454</v>
      </c>
      <c r="L3" s="401" t="s">
        <v>515</v>
      </c>
      <c r="M3" s="401" t="s">
        <v>516</v>
      </c>
      <c r="N3" s="392" t="s">
        <v>456</v>
      </c>
      <c r="O3" s="392" t="s">
        <v>458</v>
      </c>
      <c r="P3" s="402" t="s">
        <v>517</v>
      </c>
      <c r="Q3" s="244" t="str">
        <f>'Test Fits for Pro Forma'!O3</f>
        <v>3x3BD, 30 feet</v>
      </c>
      <c r="R3" s="244" t="str">
        <f>'Test Fits for Pro Forma'!P3</f>
        <v>4x2BD, 30 feet</v>
      </c>
    </row>
    <row r="4" spans="1:18" s="72" customFormat="1" ht="13.5" x14ac:dyDescent="0.25">
      <c r="A4" s="82"/>
      <c r="B4" s="174" t="str">
        <f>'Test Fits for Pro Forma'!B6</f>
        <v>Parcel Size (acres)</v>
      </c>
      <c r="C4" s="168"/>
      <c r="D4" s="305">
        <f>'Test Fits for Pro Forma'!C6</f>
        <v>1.29</v>
      </c>
      <c r="E4" s="305">
        <f>'Test Fits for Pro Forma'!D6</f>
        <v>1.29</v>
      </c>
      <c r="F4" s="305">
        <f>'Test Fits for Pro Forma'!E6</f>
        <v>1.29</v>
      </c>
      <c r="G4" s="406">
        <f>'Test Fits for Pro Forma'!F6</f>
        <v>1.29</v>
      </c>
      <c r="H4" s="305">
        <f>'Test Fits for Pro Forma'!G6</f>
        <v>1.29</v>
      </c>
      <c r="I4" s="305">
        <f>'Test Fits for Pro Forma'!H6</f>
        <v>1.29</v>
      </c>
      <c r="J4" s="305">
        <f>'Test Fits for Pro Forma'!I6</f>
        <v>0.16090449954086317</v>
      </c>
      <c r="K4" s="305">
        <f>'Test Fits for Pro Forma'!J6</f>
        <v>0.16090449954086317</v>
      </c>
      <c r="L4" s="305">
        <f>'Test Fits for Pro Forma'!J6</f>
        <v>0.16090449954086317</v>
      </c>
      <c r="M4" s="305">
        <f>'Test Fits for Pro Forma'!K6</f>
        <v>0.16090449954086317</v>
      </c>
      <c r="N4" s="406">
        <f>'Test Fits for Pro Forma'!L6</f>
        <v>0.16090449954086317</v>
      </c>
      <c r="O4" s="305">
        <f>'Test Fits for Pro Forma'!N6</f>
        <v>0.16090449954086317</v>
      </c>
      <c r="P4" s="406">
        <f>'Test Fits for Pro Forma'!M6</f>
        <v>0.16090449954086317</v>
      </c>
      <c r="Q4" s="95">
        <f>'Test Fits for Pro Forma'!O6</f>
        <v>0.13200183654729108</v>
      </c>
      <c r="R4" s="95">
        <f>'Test Fits for Pro Forma'!P6</f>
        <v>0.13200183654729108</v>
      </c>
    </row>
    <row r="5" spans="1:18" s="72" customFormat="1" ht="13.5" x14ac:dyDescent="0.25">
      <c r="A5" s="82"/>
      <c r="B5" s="174" t="str">
        <f>'Test Fits for Pro Forma'!B7</f>
        <v xml:space="preserve">Parcel Size (sf) </v>
      </c>
      <c r="C5" s="168"/>
      <c r="D5" s="175">
        <f>'Test Fits for Pro Forma'!C7</f>
        <v>56192.4</v>
      </c>
      <c r="E5" s="175">
        <f>'Test Fits for Pro Forma'!D7</f>
        <v>56192.4</v>
      </c>
      <c r="F5" s="175">
        <f>'Test Fits for Pro Forma'!E7</f>
        <v>56192.4</v>
      </c>
      <c r="G5" s="407">
        <f>'Test Fits for Pro Forma'!F7</f>
        <v>56192.4</v>
      </c>
      <c r="H5" s="175">
        <f>'Test Fits for Pro Forma'!G7</f>
        <v>56192.4</v>
      </c>
      <c r="I5" s="175">
        <f>'Test Fits for Pro Forma'!H7</f>
        <v>56192.4</v>
      </c>
      <c r="J5" s="175">
        <f>'Test Fits for Pro Forma'!I7</f>
        <v>7008.9999999999991</v>
      </c>
      <c r="K5" s="175">
        <f>'Test Fits for Pro Forma'!J7</f>
        <v>7008.9999999999991</v>
      </c>
      <c r="L5" s="175">
        <f>'Test Fits for Pro Forma'!J7</f>
        <v>7008.9999999999991</v>
      </c>
      <c r="M5" s="175">
        <f>'Test Fits for Pro Forma'!K7</f>
        <v>7008.9999999999991</v>
      </c>
      <c r="N5" s="407">
        <f>'Test Fits for Pro Forma'!L7</f>
        <v>7008.9999999999991</v>
      </c>
      <c r="O5" s="175">
        <f>'Test Fits for Pro Forma'!N7</f>
        <v>7008.9999999999991</v>
      </c>
      <c r="P5" s="175">
        <f>'Test Fits for Pro Forma'!M7</f>
        <v>7008.9999999999991</v>
      </c>
      <c r="Q5" s="86">
        <f>'Test Fits for Pro Forma'!O7</f>
        <v>5750</v>
      </c>
      <c r="R5" s="86">
        <f>'Test Fits for Pro Forma'!P7</f>
        <v>5750</v>
      </c>
    </row>
    <row r="6" spans="1:18" s="72" customFormat="1" ht="13.5" x14ac:dyDescent="0.25">
      <c r="A6" s="82"/>
      <c r="B6" s="176" t="s">
        <v>299</v>
      </c>
      <c r="C6" s="82"/>
      <c r="D6" s="177">
        <f>'Test Fits for Pro Forma'!C15+'Test Fits for Pro Forma'!C22</f>
        <v>103374</v>
      </c>
      <c r="E6" s="177">
        <f>'Test Fits for Pro Forma'!D15+'Test Fits for Pro Forma'!D22</f>
        <v>119374</v>
      </c>
      <c r="F6" s="177">
        <f>'Test Fits for Pro Forma'!E15+'Test Fits for Pro Forma'!E22</f>
        <v>124078</v>
      </c>
      <c r="G6" s="86">
        <f>'Test Fits for Pro Forma'!F15+'Test Fits for Pro Forma'!F22</f>
        <v>165030</v>
      </c>
      <c r="H6" s="177">
        <f>'Test Fits for Pro Forma'!G15+'Test Fits for Pro Forma'!G22</f>
        <v>121068</v>
      </c>
      <c r="I6" s="177">
        <f>'Test Fits for Pro Forma'!H15+'Test Fits for Pro Forma'!H22</f>
        <v>162020</v>
      </c>
      <c r="J6" s="177">
        <f>'Test Fits for Pro Forma'!I15+'Test Fits for Pro Forma'!I22</f>
        <v>9836</v>
      </c>
      <c r="K6" s="177">
        <f>'Test Fits for Pro Forma'!J15+'Test Fits for Pro Forma'!J22</f>
        <v>13857</v>
      </c>
      <c r="L6" s="177">
        <f>'Test Fits for Pro Forma'!J15+'Test Fits for Pro Forma'!J22</f>
        <v>13857</v>
      </c>
      <c r="M6" s="177">
        <f>'Test Fits for Pro Forma'!K15+'Test Fits for Pro Forma'!K22</f>
        <v>17878</v>
      </c>
      <c r="N6" s="86">
        <f>'Test Fits for Pro Forma'!L15+'Test Fits for Pro Forma'!L22</f>
        <v>9836</v>
      </c>
      <c r="O6" s="177">
        <f>'Test Fits for Pro Forma'!N15+'Test Fits for Pro Forma'!N22</f>
        <v>17878</v>
      </c>
      <c r="P6" s="177">
        <f>'Test Fits for Pro Forma'!M15+'Test Fits for Pro Forma'!M22</f>
        <v>13857</v>
      </c>
      <c r="Q6" s="86">
        <f>'Test Fits for Pro Forma'!O9</f>
        <v>5412</v>
      </c>
      <c r="R6" s="86">
        <f>'Test Fits for Pro Forma'!P9</f>
        <v>5760</v>
      </c>
    </row>
    <row r="7" spans="1:18" s="72" customFormat="1" ht="13.5" x14ac:dyDescent="0.25">
      <c r="A7" s="82"/>
      <c r="B7" s="178" t="s">
        <v>1</v>
      </c>
      <c r="C7" s="83"/>
      <c r="D7" s="340">
        <f>'Test Fits for Pro Forma'!C12</f>
        <v>2.4625306328345418</v>
      </c>
      <c r="E7" s="340">
        <f>'Test Fits for Pro Forma'!D12</f>
        <v>2.7482347148316135</v>
      </c>
      <c r="F7" s="340">
        <f>'Test Fits for Pro Forma'!E12</f>
        <v>3.4783157833648799</v>
      </c>
      <c r="G7" s="84">
        <f>'Test Fits for Pro Forma'!F12</f>
        <v>4.2095753812363848</v>
      </c>
      <c r="H7" s="340">
        <f>'Test Fits for Pro Forma'!G12</f>
        <v>3.4540194993035964</v>
      </c>
      <c r="I7" s="340">
        <f>'Test Fits for Pro Forma'!H12</f>
        <v>4.1852790971751013</v>
      </c>
      <c r="J7" s="340">
        <f>'Test Fits for Pro Forma'!I12</f>
        <v>1.9900128406334712</v>
      </c>
      <c r="K7" s="340">
        <f>'Test Fits for Pro Forma'!J12</f>
        <v>2.5637038093879299</v>
      </c>
      <c r="L7" s="340">
        <f>'Test Fits for Pro Forma'!J12</f>
        <v>2.5637038093879299</v>
      </c>
      <c r="M7" s="340">
        <f>'Test Fits for Pro Forma'!K12</f>
        <v>3.1373947781423883</v>
      </c>
      <c r="N7" s="84">
        <f>'Test Fits for Pro Forma'!L12</f>
        <v>1.9900128406334712</v>
      </c>
      <c r="O7" s="340">
        <f>'Test Fits for Pro Forma'!N12</f>
        <v>3.1373947781423883</v>
      </c>
      <c r="P7" s="340">
        <f>'Test Fits for Pro Forma'!M12</f>
        <v>2.5637038093879299</v>
      </c>
      <c r="Q7" s="95">
        <f>'Test Fits for Pro Forma'!O12</f>
        <v>0.94121739130434778</v>
      </c>
      <c r="R7" s="95">
        <f>'Test Fits for Pro Forma'!P12</f>
        <v>1.0017391304347827</v>
      </c>
    </row>
    <row r="8" spans="1:18" s="72" customFormat="1" ht="13.5" x14ac:dyDescent="0.25">
      <c r="A8" s="82"/>
      <c r="B8" s="179" t="s">
        <v>95</v>
      </c>
      <c r="C8" s="102"/>
      <c r="D8" s="180">
        <f>'Test Fits for Pro Forma'!C16</f>
        <v>95.237209302325581</v>
      </c>
      <c r="E8" s="180">
        <f>'Test Fits for Pro Forma'!D16</f>
        <v>114</v>
      </c>
      <c r="F8" s="180">
        <f>'Test Fits for Pro Forma'!E16</f>
        <v>119</v>
      </c>
      <c r="G8" s="181">
        <f>'Test Fits for Pro Forma'!F16</f>
        <v>167</v>
      </c>
      <c r="H8" s="180">
        <f>'Test Fits for Pro Forma'!G16</f>
        <v>141</v>
      </c>
      <c r="I8" s="180">
        <f>'Test Fits for Pro Forma'!H16</f>
        <v>188</v>
      </c>
      <c r="J8" s="180">
        <f>'Test Fits for Pro Forma'!I16</f>
        <v>9</v>
      </c>
      <c r="K8" s="180">
        <f>'Test Fits for Pro Forma'!J16</f>
        <v>14</v>
      </c>
      <c r="L8" s="180">
        <f>'Test Fits for Pro Forma'!J16</f>
        <v>14</v>
      </c>
      <c r="M8" s="180">
        <f>'Test Fits for Pro Forma'!K16</f>
        <v>19</v>
      </c>
      <c r="N8" s="181">
        <f>'Test Fits for Pro Forma'!L16</f>
        <v>10</v>
      </c>
      <c r="O8" s="180">
        <f>'Test Fits for Pro Forma'!N16</f>
        <v>20</v>
      </c>
      <c r="P8" s="180">
        <f>'Test Fits for Pro Forma'!M16</f>
        <v>15</v>
      </c>
      <c r="Q8" s="86">
        <f>'Test Fits for Pro Forma'!O16</f>
        <v>3</v>
      </c>
      <c r="R8" s="86">
        <f>'Test Fits for Pro Forma'!P16</f>
        <v>4</v>
      </c>
    </row>
    <row r="9" spans="1:18" s="72" customFormat="1" ht="13.5" x14ac:dyDescent="0.25">
      <c r="A9" s="82"/>
      <c r="B9" s="82" t="s">
        <v>294</v>
      </c>
      <c r="C9" s="400">
        <v>0.8</v>
      </c>
      <c r="D9" s="86">
        <f t="shared" ref="D9" si="0">$C$9*D8</f>
        <v>76.189767441860468</v>
      </c>
      <c r="E9" s="86">
        <f t="shared" ref="E9:O9" si="1">$C$9*E8</f>
        <v>91.2</v>
      </c>
      <c r="F9" s="86">
        <f t="shared" si="1"/>
        <v>95.2</v>
      </c>
      <c r="G9" s="86">
        <f t="shared" si="1"/>
        <v>133.6</v>
      </c>
      <c r="H9" s="86">
        <f t="shared" si="1"/>
        <v>112.80000000000001</v>
      </c>
      <c r="I9" s="86">
        <f t="shared" si="1"/>
        <v>150.4</v>
      </c>
      <c r="J9" s="86">
        <f t="shared" si="1"/>
        <v>7.2</v>
      </c>
      <c r="K9" s="86">
        <f t="shared" si="1"/>
        <v>11.200000000000001</v>
      </c>
      <c r="L9" s="86">
        <f t="shared" ref="L9" si="2">$C$9*L8</f>
        <v>11.200000000000001</v>
      </c>
      <c r="M9" s="86">
        <f t="shared" si="1"/>
        <v>15.200000000000001</v>
      </c>
      <c r="N9" s="86">
        <f t="shared" si="1"/>
        <v>8</v>
      </c>
      <c r="O9" s="86">
        <f t="shared" si="1"/>
        <v>16</v>
      </c>
      <c r="P9" s="86">
        <f>$C$9*P8</f>
        <v>12</v>
      </c>
      <c r="Q9" s="255">
        <f>Q8</f>
        <v>3</v>
      </c>
      <c r="R9" s="255">
        <f>R8</f>
        <v>4</v>
      </c>
    </row>
    <row r="10" spans="1:18" s="72" customFormat="1" ht="13.5" x14ac:dyDescent="0.25">
      <c r="A10" s="82"/>
      <c r="B10" s="82" t="s">
        <v>439</v>
      </c>
      <c r="C10" s="307">
        <f>1-C9</f>
        <v>0.19999999999999996</v>
      </c>
      <c r="D10" s="86">
        <f>D8-D9</f>
        <v>19.047441860465113</v>
      </c>
      <c r="E10" s="86">
        <f>E8-E9</f>
        <v>22.799999999999997</v>
      </c>
      <c r="F10" s="86">
        <f t="shared" ref="F10:I10" si="3">F8-F9</f>
        <v>23.799999999999997</v>
      </c>
      <c r="G10" s="86">
        <f t="shared" si="3"/>
        <v>33.400000000000006</v>
      </c>
      <c r="H10" s="86">
        <f t="shared" si="3"/>
        <v>28.199999999999989</v>
      </c>
      <c r="I10" s="86">
        <f t="shared" si="3"/>
        <v>37.599999999999994</v>
      </c>
      <c r="J10" s="86">
        <f t="shared" ref="J10:K10" si="4">J8-J9</f>
        <v>1.7999999999999998</v>
      </c>
      <c r="K10" s="86">
        <f t="shared" si="4"/>
        <v>2.7999999999999989</v>
      </c>
      <c r="L10" s="86">
        <f>L8-L9</f>
        <v>2.7999999999999989</v>
      </c>
      <c r="M10" s="86">
        <f t="shared" ref="M10:N10" si="5">M8-M9</f>
        <v>3.7999999999999989</v>
      </c>
      <c r="N10" s="86">
        <f t="shared" si="5"/>
        <v>2</v>
      </c>
      <c r="O10" s="86">
        <f t="shared" ref="O10" si="6">O8-O9</f>
        <v>4</v>
      </c>
      <c r="P10" s="86">
        <f>P8-P9</f>
        <v>3</v>
      </c>
      <c r="Q10" s="257"/>
      <c r="R10" s="257"/>
    </row>
    <row r="11" spans="1:18" s="72" customFormat="1" ht="13.5" x14ac:dyDescent="0.25">
      <c r="A11" s="82"/>
      <c r="B11" s="82" t="s">
        <v>300</v>
      </c>
      <c r="C11" s="82"/>
      <c r="D11" s="86">
        <f>'Test Fits for Pro Forma'!C28</f>
        <v>86.331601250000006</v>
      </c>
      <c r="E11" s="86">
        <f>'Test Fits for Pro Forma'!D28</f>
        <v>86.331601250000006</v>
      </c>
      <c r="F11" s="86">
        <f>'Test Fits for Pro Forma'!E28</f>
        <v>157.14364555555557</v>
      </c>
      <c r="G11" s="86">
        <f>'Test Fits for Pro Forma'!F28</f>
        <v>157.14364555555557</v>
      </c>
      <c r="H11" s="86">
        <f>'Test Fits for Pro Forma'!G28</f>
        <v>161</v>
      </c>
      <c r="I11" s="86">
        <f>'Test Fits for Pro Forma'!H28</f>
        <v>160.8088888888889</v>
      </c>
      <c r="J11" s="86">
        <f>'Test Fits for Pro Forma'!I28</f>
        <v>10.28</v>
      </c>
      <c r="K11" s="86">
        <f>'Test Fits for Pro Forma'!J28</f>
        <v>10.28</v>
      </c>
      <c r="L11" s="86">
        <f>'Test Fits for Pro Forma'!N28</f>
        <v>10.28</v>
      </c>
      <c r="M11" s="86">
        <f>'Test Fits for Pro Forma'!K28</f>
        <v>10.28</v>
      </c>
      <c r="N11" s="86">
        <f>'Test Fits for Pro Forma'!L28</f>
        <v>10.28</v>
      </c>
      <c r="O11" s="86">
        <f>'Test Fits for Pro Forma'!N28</f>
        <v>10.28</v>
      </c>
      <c r="P11" s="86">
        <f>'Test Fits for Pro Forma'!M28</f>
        <v>10.28</v>
      </c>
      <c r="Q11" s="81">
        <f>'Test Fits for Pro Forma'!O28</f>
        <v>6</v>
      </c>
      <c r="R11" s="81">
        <f>'Test Fits for Pro Forma'!P28</f>
        <v>8</v>
      </c>
    </row>
    <row r="12" spans="1:18" s="72" customFormat="1" ht="13.5" x14ac:dyDescent="0.25">
      <c r="A12" s="102"/>
      <c r="B12" s="102"/>
      <c r="C12" s="102"/>
      <c r="D12" s="102"/>
      <c r="E12" s="181"/>
      <c r="F12" s="181"/>
      <c r="G12" s="181"/>
      <c r="H12" s="181"/>
      <c r="I12" s="181"/>
      <c r="J12" s="181"/>
      <c r="K12" s="181"/>
      <c r="M12" s="181"/>
      <c r="N12" s="181"/>
      <c r="O12" s="181"/>
      <c r="P12" s="181"/>
    </row>
    <row r="13" spans="1:18" s="72" customFormat="1" ht="38.25" x14ac:dyDescent="0.25">
      <c r="A13" s="168"/>
      <c r="B13" s="168"/>
      <c r="C13" s="82"/>
      <c r="D13" s="338" t="str">
        <f>D3</f>
        <v>Prototype 1a 
(45 ft height)</v>
      </c>
      <c r="E13" s="338" t="str">
        <f>E3</f>
        <v>Prototype 1
(Max FAR)</v>
      </c>
      <c r="F13" s="338" t="s">
        <v>492</v>
      </c>
      <c r="G13" s="338" t="s">
        <v>493</v>
      </c>
      <c r="H13" s="339" t="s">
        <v>494</v>
      </c>
      <c r="I13" s="339" t="s">
        <v>495</v>
      </c>
      <c r="J13" s="401" t="str">
        <f>J3</f>
        <v>Prototype 6
(MU, Height 35 feet)</v>
      </c>
      <c r="K13" s="391" t="s">
        <v>454</v>
      </c>
      <c r="L13" s="401" t="str">
        <f>L3</f>
        <v>Prototype 7
(MU, Height 45 feet)</v>
      </c>
      <c r="M13" s="401" t="str">
        <f>M3</f>
        <v>Prototype 8
(MU, Height 55 feet)</v>
      </c>
      <c r="N13" s="392" t="s">
        <v>456</v>
      </c>
      <c r="O13" s="392" t="s">
        <v>458</v>
      </c>
      <c r="P13" s="402" t="str">
        <f>P3</f>
        <v>Prototype 9
(Res only, Height 45 feet)</v>
      </c>
    </row>
    <row r="14" spans="1:18" s="72" customFormat="1" ht="13.5" x14ac:dyDescent="0.25">
      <c r="A14" s="109"/>
      <c r="B14" s="209" t="s">
        <v>7</v>
      </c>
      <c r="C14" s="209"/>
      <c r="D14" s="209"/>
      <c r="E14" s="210"/>
      <c r="F14" s="210"/>
      <c r="G14" s="210"/>
      <c r="H14" s="210"/>
      <c r="I14" s="210"/>
      <c r="J14" s="210"/>
      <c r="K14" s="210"/>
      <c r="L14" s="210"/>
      <c r="M14" s="210"/>
      <c r="N14" s="210"/>
      <c r="O14" s="210"/>
      <c r="P14" s="210"/>
      <c r="Q14" s="210"/>
      <c r="R14" s="210"/>
    </row>
    <row r="15" spans="1:18" s="207" customFormat="1" ht="13.5" x14ac:dyDescent="0.25">
      <c r="A15" s="83"/>
      <c r="B15" s="119" t="s">
        <v>103</v>
      </c>
      <c r="C15" s="119"/>
      <c r="D15" s="119"/>
    </row>
    <row r="16" spans="1:18" s="207" customFormat="1" ht="13.5" x14ac:dyDescent="0.25">
      <c r="A16" s="83"/>
      <c r="B16" s="119"/>
      <c r="C16" s="119"/>
      <c r="D16" s="119"/>
    </row>
    <row r="17" spans="1:18" s="72" customFormat="1" ht="13.5" x14ac:dyDescent="0.25">
      <c r="A17" s="83"/>
      <c r="B17" s="78" t="s">
        <v>98</v>
      </c>
      <c r="C17" s="78"/>
      <c r="D17" s="78"/>
      <c r="E17" s="172"/>
      <c r="F17" s="172"/>
      <c r="G17" s="172"/>
      <c r="H17" s="172"/>
      <c r="I17" s="172"/>
      <c r="J17" s="172"/>
      <c r="K17" s="172"/>
      <c r="M17" s="172"/>
      <c r="N17" s="172"/>
      <c r="O17" s="172"/>
      <c r="P17" s="172"/>
    </row>
    <row r="18" spans="1:18" s="72" customFormat="1" ht="13.5" x14ac:dyDescent="0.25">
      <c r="A18" s="82"/>
      <c r="B18" s="97" t="s">
        <v>290</v>
      </c>
      <c r="C18" s="97"/>
      <c r="D18" s="182">
        <f>'7. Revenue Assumptions'!$D$16*D9</f>
        <v>1353130.269767442</v>
      </c>
      <c r="E18" s="182">
        <f>'7. Revenue Assumptions'!$D$16*E9</f>
        <v>1619712</v>
      </c>
      <c r="F18" s="182">
        <f>'7. Revenue Assumptions'!$D$16*F9</f>
        <v>1690752</v>
      </c>
      <c r="G18" s="182">
        <f>'7. Revenue Assumptions'!$D$16*G9</f>
        <v>2372736</v>
      </c>
      <c r="H18" s="182">
        <f>'7. Revenue Assumptions'!$D$16*H9</f>
        <v>2003328.0000000002</v>
      </c>
      <c r="I18" s="182">
        <f>'7. Revenue Assumptions'!$D$16*I9</f>
        <v>2671104</v>
      </c>
      <c r="J18" s="182">
        <f>'7. Revenue Assumptions'!$D$16*J9</f>
        <v>127872</v>
      </c>
      <c r="K18" s="182">
        <f>'7. Revenue Assumptions'!$D$16*K9</f>
        <v>198912.00000000003</v>
      </c>
      <c r="L18" s="182">
        <f>'7. Revenue Assumptions'!$D$16*L9</f>
        <v>198912.00000000003</v>
      </c>
      <c r="M18" s="182">
        <f>'7. Revenue Assumptions'!$D$16*M9</f>
        <v>269952</v>
      </c>
      <c r="N18" s="182">
        <f>'7. Revenue Assumptions'!$D$16*N9</f>
        <v>142080</v>
      </c>
      <c r="O18" s="182">
        <f>'7. Revenue Assumptions'!$D$16*O9</f>
        <v>284160</v>
      </c>
      <c r="P18" s="182">
        <f>'7. Revenue Assumptions'!$D$16*P9</f>
        <v>213120</v>
      </c>
      <c r="Q18" s="464">
        <f>'7. Revenue Assumptions'!$D$16*Q9</f>
        <v>53280</v>
      </c>
      <c r="R18" s="464">
        <f>'7. Revenue Assumptions'!$D$16*R9</f>
        <v>71040</v>
      </c>
    </row>
    <row r="19" spans="1:18" s="72" customFormat="1" ht="13.5" x14ac:dyDescent="0.25">
      <c r="A19" s="82"/>
      <c r="B19" s="97" t="s">
        <v>291</v>
      </c>
      <c r="C19" s="97"/>
      <c r="D19" s="182">
        <f>'7. Revenue Assumptions'!$D$37*D10</f>
        <v>347173.05616744183</v>
      </c>
      <c r="E19" s="182">
        <f>'7. Revenue Assumptions'!$D$37*E10</f>
        <v>415570.01399999997</v>
      </c>
      <c r="F19" s="182">
        <f>'7. Revenue Assumptions'!$D$37*F10</f>
        <v>433796.76899999997</v>
      </c>
      <c r="G19" s="182">
        <f>'7. Revenue Assumptions'!$D$37*G10</f>
        <v>608773.61700000009</v>
      </c>
      <c r="H19" s="182">
        <f>'7. Revenue Assumptions'!$D$37*H10</f>
        <v>513994.49099999981</v>
      </c>
      <c r="I19" s="182">
        <f>'7. Revenue Assumptions'!$D$37*I10</f>
        <v>685325.9879999999</v>
      </c>
      <c r="J19" s="182">
        <f>'7. Revenue Assumptions'!$D$37*J10</f>
        <v>32808.159</v>
      </c>
      <c r="K19" s="182">
        <f>'7. Revenue Assumptions'!$D$37*K10</f>
        <v>51034.913999999982</v>
      </c>
      <c r="L19" s="182">
        <f>'7. Revenue Assumptions'!$D$37*L10</f>
        <v>51034.913999999982</v>
      </c>
      <c r="M19" s="182">
        <f>'7. Revenue Assumptions'!$D$37*M10</f>
        <v>69261.66899999998</v>
      </c>
      <c r="N19" s="182">
        <f>'7. Revenue Assumptions'!$D$37*N10</f>
        <v>36453.51</v>
      </c>
      <c r="O19" s="182">
        <f>'7. Revenue Assumptions'!$D$37*O10</f>
        <v>72907.02</v>
      </c>
      <c r="P19" s="182">
        <f>'7. Revenue Assumptions'!$D$37*P10</f>
        <v>54680.264999999999</v>
      </c>
      <c r="Q19" s="182">
        <f>'7. Revenue Assumptions'!$D$37*Q10</f>
        <v>0</v>
      </c>
      <c r="R19" s="182">
        <f>'7. Revenue Assumptions'!$D$37*R10</f>
        <v>0</v>
      </c>
    </row>
    <row r="20" spans="1:18" s="72" customFormat="1" ht="13.5" x14ac:dyDescent="0.25">
      <c r="A20" s="82"/>
      <c r="B20" s="97" t="s">
        <v>8</v>
      </c>
      <c r="C20" s="97"/>
      <c r="D20" s="182">
        <f>SUM(D18:D19)</f>
        <v>1700303.3259348839</v>
      </c>
      <c r="E20" s="182">
        <f>SUM(E18:E19)</f>
        <v>2035282.014</v>
      </c>
      <c r="F20" s="182">
        <f t="shared" ref="F20:I20" si="7">SUM(F18:F19)</f>
        <v>2124548.7689999999</v>
      </c>
      <c r="G20" s="182">
        <f t="shared" si="7"/>
        <v>2981509.6170000001</v>
      </c>
      <c r="H20" s="182">
        <f t="shared" si="7"/>
        <v>2517322.4909999999</v>
      </c>
      <c r="I20" s="182">
        <f t="shared" si="7"/>
        <v>3356429.9879999999</v>
      </c>
      <c r="J20" s="182">
        <f t="shared" ref="J20:K20" si="8">SUM(J18:J19)</f>
        <v>160680.15899999999</v>
      </c>
      <c r="K20" s="182">
        <f t="shared" si="8"/>
        <v>249946.91400000002</v>
      </c>
      <c r="L20" s="182">
        <f>SUM(L18:L19)</f>
        <v>249946.91400000002</v>
      </c>
      <c r="M20" s="182">
        <f t="shared" ref="M20:N20" si="9">SUM(M18:M19)</f>
        <v>339213.66899999999</v>
      </c>
      <c r="N20" s="182">
        <f t="shared" si="9"/>
        <v>178533.51</v>
      </c>
      <c r="O20" s="182">
        <f t="shared" ref="O20" si="10">SUM(O18:O19)</f>
        <v>357067.02</v>
      </c>
      <c r="P20" s="182">
        <f>SUM(P18:P19)</f>
        <v>267800.26500000001</v>
      </c>
      <c r="Q20" s="182">
        <f t="shared" ref="Q20:R20" si="11">SUM(Q18:Q19)</f>
        <v>53280</v>
      </c>
      <c r="R20" s="182">
        <f t="shared" si="11"/>
        <v>71040</v>
      </c>
    </row>
    <row r="21" spans="1:18" s="72" customFormat="1" ht="13.5" x14ac:dyDescent="0.25">
      <c r="A21" s="82"/>
      <c r="B21" s="97" t="s">
        <v>118</v>
      </c>
      <c r="C21" s="97"/>
      <c r="D21" s="182">
        <f>D20/'7. Revenue Assumptions'!$D$17</f>
        <v>40007137.080820791</v>
      </c>
      <c r="E21" s="182">
        <f>E20/'7. Revenue Assumptions'!$D$17</f>
        <v>47888988.564705878</v>
      </c>
      <c r="F21" s="182">
        <f>F20/'7. Revenue Assumptions'!$D$17</f>
        <v>49989382.79999999</v>
      </c>
      <c r="G21" s="182">
        <f>G20/'7. Revenue Assumptions'!$D$17</f>
        <v>70153167.458823532</v>
      </c>
      <c r="H21" s="182">
        <f>H20/'7. Revenue Assumptions'!$D$17</f>
        <v>59231117.435294114</v>
      </c>
      <c r="I21" s="182">
        <f>I20/'7. Revenue Assumptions'!$D$17</f>
        <v>78974823.247058809</v>
      </c>
      <c r="J21" s="182">
        <f>J20/'7. Revenue Assumptions'!$D$17</f>
        <v>3780709.6235294109</v>
      </c>
      <c r="K21" s="182">
        <f>K20/'7. Revenue Assumptions'!$D$17</f>
        <v>5881103.8588235294</v>
      </c>
      <c r="L21" s="182">
        <f>L20/'7. Revenue Assumptions'!$D$17</f>
        <v>5881103.8588235294</v>
      </c>
      <c r="M21" s="182">
        <f>M20/'7. Revenue Assumptions'!$D$17</f>
        <v>7981498.0941176461</v>
      </c>
      <c r="N21" s="182">
        <f>N20/'7. Revenue Assumptions'!$D$17</f>
        <v>4200788.4705882352</v>
      </c>
      <c r="O21" s="182">
        <f>O20/'7. Revenue Assumptions'!$D$17</f>
        <v>8401576.9411764704</v>
      </c>
      <c r="P21" s="182">
        <f>P20/'7. Revenue Assumptions'!$D$17</f>
        <v>6301182.7058823528</v>
      </c>
      <c r="Q21" s="182">
        <f>Q20/'7. Revenue Assumptions'!$D$17</f>
        <v>1253647.0588235294</v>
      </c>
      <c r="R21" s="182">
        <f>R20/'7. Revenue Assumptions'!$D$17</f>
        <v>1671529.4117647058</v>
      </c>
    </row>
    <row r="22" spans="1:18" s="72" customFormat="1" ht="13.5" x14ac:dyDescent="0.25">
      <c r="A22" s="82"/>
      <c r="B22" s="89"/>
      <c r="C22" s="89"/>
      <c r="D22" s="417"/>
      <c r="E22" s="417"/>
      <c r="F22" s="336"/>
      <c r="G22" s="336"/>
      <c r="H22" s="336"/>
      <c r="I22" s="336"/>
      <c r="J22" s="336"/>
      <c r="K22" s="336"/>
      <c r="M22" s="336"/>
      <c r="N22" s="336"/>
      <c r="O22" s="336"/>
      <c r="P22" s="336"/>
      <c r="Q22" s="336"/>
      <c r="R22" s="336"/>
    </row>
    <row r="23" spans="1:18" s="72" customFormat="1" ht="13.5" x14ac:dyDescent="0.25">
      <c r="A23" s="82"/>
      <c r="B23" s="78" t="s">
        <v>177</v>
      </c>
      <c r="C23" s="78"/>
      <c r="D23" s="78"/>
      <c r="E23" s="182"/>
      <c r="F23" s="182"/>
      <c r="G23" s="182"/>
      <c r="H23" s="182"/>
      <c r="I23" s="182"/>
      <c r="J23" s="182"/>
      <c r="K23" s="182"/>
      <c r="M23" s="182"/>
      <c r="N23" s="182"/>
      <c r="O23" s="182"/>
      <c r="P23" s="182"/>
      <c r="Q23" s="182"/>
      <c r="R23" s="182"/>
    </row>
    <row r="24" spans="1:18" s="72" customFormat="1" ht="13.5" x14ac:dyDescent="0.25">
      <c r="A24" s="82"/>
      <c r="B24" s="97" t="s">
        <v>8</v>
      </c>
      <c r="C24" s="97"/>
      <c r="D24" s="182">
        <f>'7. Revenue Assumptions'!$D$49*'Test Fits for Pro Forma'!C22</f>
        <v>458599.2</v>
      </c>
      <c r="E24" s="182">
        <f>'7. Revenue Assumptions'!$D$49*'Test Fits for Pro Forma'!D22</f>
        <v>458599.2</v>
      </c>
      <c r="F24" s="182">
        <f>'7. Revenue Assumptions'!$D$49*'Test Fits for Pro Forma'!E22</f>
        <v>458599.2</v>
      </c>
      <c r="G24" s="182">
        <f>'7. Revenue Assumptions'!$D$49*'Test Fits for Pro Forma'!F22</f>
        <v>458599.2</v>
      </c>
      <c r="H24" s="182">
        <f>'7. Revenue Assumptions'!$D$49*'Test Fits for Pro Forma'!G22</f>
        <v>0</v>
      </c>
      <c r="I24" s="182">
        <f>'7. Revenue Assumptions'!$D$49*'Test Fits for Pro Forma'!H22</f>
        <v>0</v>
      </c>
      <c r="J24" s="418">
        <f>'7. Revenue Assumptions'!$D$49*'Test Fits for Pro Forma'!I22</f>
        <v>18796.8</v>
      </c>
      <c r="K24" s="182">
        <f>'7. Revenue Assumptions'!$D$49*'Test Fits for Pro Forma'!J22</f>
        <v>18796.8</v>
      </c>
      <c r="L24" s="418">
        <f>'7. Revenue Assumptions'!$D$49*'Test Fits for Pro Forma'!J22</f>
        <v>18796.8</v>
      </c>
      <c r="M24" s="418">
        <f>'7. Revenue Assumptions'!$D$49*'Test Fits for Pro Forma'!K22</f>
        <v>18796.8</v>
      </c>
      <c r="N24" s="182">
        <f>'7. Revenue Assumptions'!$D$49*'Test Fits for Pro Forma'!L22</f>
        <v>0</v>
      </c>
      <c r="O24" s="182">
        <f>'7. Revenue Assumptions'!$D$49*'Test Fits for Pro Forma'!N22</f>
        <v>0</v>
      </c>
      <c r="P24" s="182">
        <f>'7. Revenue Assumptions'!$D$49*'Test Fits for Pro Forma'!M22</f>
        <v>0</v>
      </c>
      <c r="Q24" s="182">
        <f>'7. Revenue Assumptions'!$D$49*'Test Fits for Pro Forma'!N22</f>
        <v>0</v>
      </c>
      <c r="R24" s="182">
        <f>'7. Revenue Assumptions'!$D$49*'Test Fits for Pro Forma'!O22</f>
        <v>0</v>
      </c>
    </row>
    <row r="25" spans="1:18" s="72" customFormat="1" ht="13.5" x14ac:dyDescent="0.25">
      <c r="A25" s="82"/>
      <c r="B25" s="97" t="s">
        <v>118</v>
      </c>
      <c r="C25" s="97"/>
      <c r="D25" s="182">
        <f>D24/'7. Revenue Assumptions'!$D$50</f>
        <v>6551417.1428571427</v>
      </c>
      <c r="E25" s="182">
        <f>E24/'7. Revenue Assumptions'!$D$50</f>
        <v>6551417.1428571427</v>
      </c>
      <c r="F25" s="182">
        <f>F24/'7. Revenue Assumptions'!$D$50</f>
        <v>6551417.1428571427</v>
      </c>
      <c r="G25" s="182">
        <f>G24/'7. Revenue Assumptions'!$D$50</f>
        <v>6551417.1428571427</v>
      </c>
      <c r="H25" s="182">
        <f>H24/'7. Revenue Assumptions'!$D$50</f>
        <v>0</v>
      </c>
      <c r="I25" s="182">
        <f>I24/'7. Revenue Assumptions'!$D$50</f>
        <v>0</v>
      </c>
      <c r="J25" s="182">
        <f>J24/'7. Revenue Assumptions'!$D$50</f>
        <v>268525.71428571426</v>
      </c>
      <c r="K25" s="182">
        <f>K24/'7. Revenue Assumptions'!$D$50</f>
        <v>268525.71428571426</v>
      </c>
      <c r="L25" s="182">
        <f>L24/'7. Revenue Assumptions'!$D$50</f>
        <v>268525.71428571426</v>
      </c>
      <c r="M25" s="182">
        <f>M24/'7. Revenue Assumptions'!$D$50</f>
        <v>268525.71428571426</v>
      </c>
      <c r="N25" s="182">
        <f>N24/'7. Revenue Assumptions'!$D$50</f>
        <v>0</v>
      </c>
      <c r="O25" s="182">
        <f>O24/'7. Revenue Assumptions'!$D$50</f>
        <v>0</v>
      </c>
      <c r="P25" s="182">
        <f>P24/'7. Revenue Assumptions'!$D$50</f>
        <v>0</v>
      </c>
      <c r="Q25" s="182">
        <f>Q24/'7. Revenue Assumptions'!$D$50</f>
        <v>0</v>
      </c>
      <c r="R25" s="182">
        <f>R24/'7. Revenue Assumptions'!$D$50</f>
        <v>0</v>
      </c>
    </row>
    <row r="26" spans="1:18" s="72" customFormat="1" ht="13.5" x14ac:dyDescent="0.25">
      <c r="A26" s="82"/>
      <c r="B26" s="82"/>
      <c r="C26" s="82"/>
      <c r="D26" s="82"/>
      <c r="E26" s="88"/>
      <c r="F26" s="88"/>
      <c r="G26" s="88"/>
      <c r="H26" s="88"/>
      <c r="I26" s="88"/>
      <c r="J26" s="88"/>
      <c r="K26" s="88"/>
      <c r="M26" s="88"/>
      <c r="N26" s="88"/>
      <c r="O26" s="88"/>
      <c r="P26" s="88"/>
    </row>
    <row r="27" spans="1:18" s="72" customFormat="1" ht="13.5" x14ac:dyDescent="0.25">
      <c r="A27" s="109"/>
      <c r="B27" s="209" t="s">
        <v>83</v>
      </c>
      <c r="C27" s="209"/>
      <c r="D27" s="209"/>
      <c r="E27" s="210"/>
      <c r="F27" s="210"/>
      <c r="G27" s="210"/>
      <c r="H27" s="210"/>
      <c r="I27" s="210"/>
      <c r="J27" s="210"/>
      <c r="K27" s="210"/>
      <c r="L27" s="210"/>
      <c r="M27" s="210"/>
      <c r="N27" s="210"/>
      <c r="O27" s="210"/>
      <c r="P27" s="210"/>
      <c r="Q27" s="210"/>
      <c r="R27" s="210"/>
    </row>
    <row r="28" spans="1:18" s="72" customFormat="1" ht="13.5" x14ac:dyDescent="0.25">
      <c r="A28" s="83"/>
      <c r="B28" s="85" t="s">
        <v>103</v>
      </c>
      <c r="C28" s="85"/>
      <c r="D28" s="85"/>
      <c r="E28" s="173"/>
      <c r="F28" s="173"/>
      <c r="G28" s="173"/>
      <c r="H28" s="173"/>
      <c r="I28" s="173"/>
      <c r="J28" s="173"/>
      <c r="K28" s="173"/>
      <c r="M28" s="173"/>
      <c r="N28" s="173"/>
      <c r="O28" s="173"/>
      <c r="P28" s="173"/>
    </row>
    <row r="29" spans="1:18" s="72" customFormat="1" ht="13.5" x14ac:dyDescent="0.25">
      <c r="A29" s="82"/>
      <c r="B29" s="82"/>
      <c r="C29" s="82"/>
      <c r="D29" s="82"/>
      <c r="E29" s="88"/>
      <c r="F29" s="88"/>
      <c r="G29" s="88"/>
      <c r="H29" s="88"/>
      <c r="I29" s="88"/>
      <c r="J29" s="88"/>
      <c r="K29" s="88"/>
      <c r="M29" s="88"/>
      <c r="N29" s="88"/>
      <c r="O29" s="88"/>
      <c r="P29" s="88"/>
    </row>
    <row r="30" spans="1:18" s="72" customFormat="1" ht="13.5" x14ac:dyDescent="0.25">
      <c r="A30" s="82"/>
      <c r="B30" s="78" t="s">
        <v>486</v>
      </c>
      <c r="C30" s="78"/>
      <c r="D30" s="182">
        <f>D5*('6. Cost Assumptions'!$D$5+'6. Cost Assumptions'!$D$6)</f>
        <v>4776354</v>
      </c>
      <c r="E30" s="182">
        <f>E5*('6. Cost Assumptions'!$D$5+'6. Cost Assumptions'!$D$6)</f>
        <v>4776354</v>
      </c>
      <c r="F30" s="182">
        <f>F5*('6. Cost Assumptions'!$D$5+'6. Cost Assumptions'!$D$6)</f>
        <v>4776354</v>
      </c>
      <c r="G30" s="182">
        <f>G5*('6. Cost Assumptions'!$D$5+'6. Cost Assumptions'!$D$6)</f>
        <v>4776354</v>
      </c>
      <c r="H30" s="182">
        <f>H5*('6. Cost Assumptions'!$D$5+'6. Cost Assumptions'!$D$6)</f>
        <v>4776354</v>
      </c>
      <c r="I30" s="182">
        <f>I5*('6. Cost Assumptions'!$D$5+'6. Cost Assumptions'!$D$6)</f>
        <v>4776354</v>
      </c>
      <c r="J30" s="182">
        <f>J5*('6. Cost Assumptions'!$D$5+'6. Cost Assumptions'!$D$6)</f>
        <v>595764.99999999988</v>
      </c>
      <c r="K30" s="182">
        <f>K5*('6. Cost Assumptions'!$D$5+'6. Cost Assumptions'!$D$6)</f>
        <v>595764.99999999988</v>
      </c>
      <c r="L30" s="182">
        <f>L5*('6. Cost Assumptions'!$D$5+'6. Cost Assumptions'!$D$6)</f>
        <v>595764.99999999988</v>
      </c>
      <c r="M30" s="182">
        <f>M5*('6. Cost Assumptions'!$D$5+'6. Cost Assumptions'!$D$6)</f>
        <v>595764.99999999988</v>
      </c>
      <c r="N30" s="182">
        <f>N5*('6. Cost Assumptions'!$D$5+'6. Cost Assumptions'!$D$6)</f>
        <v>595764.99999999988</v>
      </c>
      <c r="O30" s="182">
        <f>O5*('6. Cost Assumptions'!$D$5+'6. Cost Assumptions'!$D$6)</f>
        <v>595764.99999999988</v>
      </c>
      <c r="P30" s="182">
        <f>P5*('6. Cost Assumptions'!$D$5+'6. Cost Assumptions'!$D$6)</f>
        <v>595764.99999999988</v>
      </c>
      <c r="Q30" s="182" t="e">
        <f>Q5*('6. Cost Assumptions'!#REF!+'6. Cost Assumptions'!$D$6)</f>
        <v>#REF!</v>
      </c>
      <c r="R30" s="182" t="e">
        <f>R5*('6. Cost Assumptions'!#REF!+'6. Cost Assumptions'!$D$6)</f>
        <v>#REF!</v>
      </c>
    </row>
    <row r="31" spans="1:18" s="207" customFormat="1" ht="13.5" x14ac:dyDescent="0.25">
      <c r="A31" s="83"/>
      <c r="B31" s="334" t="s">
        <v>298</v>
      </c>
      <c r="C31" s="334"/>
      <c r="D31" s="335">
        <f t="shared" ref="D31:O31" si="12">D30/D8</f>
        <v>50152.183531939831</v>
      </c>
      <c r="E31" s="335">
        <f t="shared" si="12"/>
        <v>41897.84210526316</v>
      </c>
      <c r="F31" s="335">
        <f t="shared" si="12"/>
        <v>40137.428571428572</v>
      </c>
      <c r="G31" s="335">
        <f t="shared" si="12"/>
        <v>28600.922155688622</v>
      </c>
      <c r="H31" s="335">
        <f t="shared" si="12"/>
        <v>33874.851063829788</v>
      </c>
      <c r="I31" s="335">
        <f t="shared" si="12"/>
        <v>25406.138297872341</v>
      </c>
      <c r="J31" s="335">
        <f t="shared" si="12"/>
        <v>66196.111111111095</v>
      </c>
      <c r="K31" s="335">
        <f t="shared" si="12"/>
        <v>42554.642857142848</v>
      </c>
      <c r="L31" s="335">
        <f t="shared" ref="L31" si="13">L30/L8</f>
        <v>42554.642857142848</v>
      </c>
      <c r="M31" s="335">
        <f t="shared" si="12"/>
        <v>31356.052631578943</v>
      </c>
      <c r="N31" s="335">
        <f t="shared" si="12"/>
        <v>59576.499999999985</v>
      </c>
      <c r="O31" s="335">
        <f t="shared" si="12"/>
        <v>29788.249999999993</v>
      </c>
      <c r="P31" s="335">
        <f>P30/P8</f>
        <v>39717.666666666657</v>
      </c>
      <c r="Q31" s="335" t="e">
        <f t="shared" ref="Q31:R31" si="14">Q30/Q8</f>
        <v>#REF!</v>
      </c>
      <c r="R31" s="335" t="e">
        <f t="shared" si="14"/>
        <v>#REF!</v>
      </c>
    </row>
    <row r="32" spans="1:18" s="72" customFormat="1" ht="13.5" x14ac:dyDescent="0.25">
      <c r="A32" s="82"/>
      <c r="B32" s="82"/>
      <c r="C32" s="82"/>
      <c r="D32" s="82"/>
      <c r="E32" s="182"/>
      <c r="F32" s="182"/>
      <c r="G32" s="182"/>
      <c r="H32" s="182"/>
      <c r="I32" s="182"/>
      <c r="J32" s="182"/>
      <c r="K32" s="182"/>
      <c r="M32" s="182"/>
      <c r="N32" s="182"/>
      <c r="O32" s="182"/>
      <c r="P32" s="182"/>
      <c r="Q32" s="182"/>
      <c r="R32" s="182"/>
    </row>
    <row r="33" spans="1:18" s="72" customFormat="1" ht="13.5" x14ac:dyDescent="0.25">
      <c r="A33" s="82"/>
      <c r="B33" s="186" t="s">
        <v>42</v>
      </c>
      <c r="C33" s="186"/>
      <c r="D33" s="186"/>
      <c r="E33" s="182"/>
      <c r="F33" s="182"/>
      <c r="G33" s="182"/>
      <c r="H33" s="182"/>
      <c r="I33" s="182"/>
      <c r="J33" s="182"/>
      <c r="K33" s="182"/>
      <c r="M33" s="182"/>
      <c r="N33" s="182"/>
      <c r="O33" s="182"/>
      <c r="P33" s="182"/>
      <c r="Q33" s="182"/>
      <c r="R33" s="182"/>
    </row>
    <row r="34" spans="1:18" s="72" customFormat="1" ht="13.5" x14ac:dyDescent="0.25">
      <c r="A34" s="82"/>
      <c r="B34" s="187" t="s">
        <v>487</v>
      </c>
      <c r="C34" s="187"/>
      <c r="D34" s="182">
        <f>D6*'6. Cost Assumptions'!$D$9</f>
        <v>28427850</v>
      </c>
      <c r="E34" s="182">
        <f>E6*'6. Cost Assumptions'!$D$9</f>
        <v>32827850</v>
      </c>
      <c r="F34" s="182">
        <f>F6*'6. Cost Assumptions'!$D$9</f>
        <v>34121450</v>
      </c>
      <c r="G34" s="182">
        <f>G6*'6. Cost Assumptions'!$D$9</f>
        <v>45383250</v>
      </c>
      <c r="H34" s="182">
        <f>H6*'6. Cost Assumptions'!$D$9</f>
        <v>33293700</v>
      </c>
      <c r="I34" s="182">
        <f>I6*'6. Cost Assumptions'!$D$9</f>
        <v>44555500</v>
      </c>
      <c r="J34" s="182">
        <f>J6*'6. Cost Assumptions'!$D$9</f>
        <v>2704900</v>
      </c>
      <c r="K34" s="182">
        <f>K6*'6. Cost Assumptions'!$D$9</f>
        <v>3810675</v>
      </c>
      <c r="L34" s="182">
        <f>L6*'6. Cost Assumptions'!$D$9</f>
        <v>3810675</v>
      </c>
      <c r="M34" s="182">
        <f>M6*'6. Cost Assumptions'!$D$9</f>
        <v>4916450</v>
      </c>
      <c r="N34" s="182">
        <f>N6*'6. Cost Assumptions'!$D$9</f>
        <v>2704900</v>
      </c>
      <c r="O34" s="182">
        <f>O6*'6. Cost Assumptions'!$D$9</f>
        <v>4916450</v>
      </c>
      <c r="P34" s="182">
        <f>P6*'6. Cost Assumptions'!$D$9</f>
        <v>3810675</v>
      </c>
      <c r="Q34" s="182">
        <f>Q6*'6. Cost Assumptions'!$D$9</f>
        <v>1488300</v>
      </c>
      <c r="R34" s="182">
        <f>R6*'6. Cost Assumptions'!$D$9</f>
        <v>1584000</v>
      </c>
    </row>
    <row r="35" spans="1:18" s="72" customFormat="1" ht="15.75" x14ac:dyDescent="0.4">
      <c r="A35" s="82"/>
      <c r="B35" s="188" t="s">
        <v>0</v>
      </c>
      <c r="C35" s="188"/>
      <c r="D35" s="184">
        <f>D11*'6. Cost Assumptions'!$D$10</f>
        <v>3453264.0500000003</v>
      </c>
      <c r="E35" s="184">
        <f>E11*'6. Cost Assumptions'!$D$10</f>
        <v>3453264.0500000003</v>
      </c>
      <c r="F35" s="184">
        <f>F11*'6. Cost Assumptions'!$D$10</f>
        <v>6285745.8222222226</v>
      </c>
      <c r="G35" s="184">
        <f>G11*'6. Cost Assumptions'!$D$10</f>
        <v>6285745.8222222226</v>
      </c>
      <c r="H35" s="184">
        <f>H11*'6. Cost Assumptions'!$D$10</f>
        <v>6440000</v>
      </c>
      <c r="I35" s="184">
        <f>I11*'6. Cost Assumptions'!$D$10</f>
        <v>6432355.555555556</v>
      </c>
      <c r="J35" s="184">
        <f>J11*'6. Cost Assumptions'!$D$10</f>
        <v>411200</v>
      </c>
      <c r="K35" s="184">
        <f>K11*'6. Cost Assumptions'!$D$10</f>
        <v>411200</v>
      </c>
      <c r="L35" s="184">
        <f>L11*'6. Cost Assumptions'!$D$10</f>
        <v>411200</v>
      </c>
      <c r="M35" s="184">
        <f>M11*'6. Cost Assumptions'!$D$10</f>
        <v>411200</v>
      </c>
      <c r="N35" s="184">
        <f>N11*'6. Cost Assumptions'!$D$10</f>
        <v>411200</v>
      </c>
      <c r="O35" s="184">
        <f>O11*'6. Cost Assumptions'!$D$10</f>
        <v>411200</v>
      </c>
      <c r="P35" s="184">
        <f>P11*'6. Cost Assumptions'!$D$10</f>
        <v>411200</v>
      </c>
      <c r="Q35" s="184">
        <f>Q11*'6. Cost Assumptions'!$D$10</f>
        <v>240000</v>
      </c>
      <c r="R35" s="184">
        <f>R11*'6. Cost Assumptions'!$D$10</f>
        <v>320000</v>
      </c>
    </row>
    <row r="36" spans="1:18" s="72" customFormat="1" ht="13.5" x14ac:dyDescent="0.25">
      <c r="A36" s="82"/>
      <c r="B36" s="189" t="s">
        <v>43</v>
      </c>
      <c r="C36" s="189"/>
      <c r="D36" s="185">
        <f t="shared" ref="D36" si="15">SUM(D34:D35)</f>
        <v>31881114.050000001</v>
      </c>
      <c r="E36" s="185">
        <f t="shared" ref="E36:O36" si="16">SUM(E34:E35)</f>
        <v>36281114.049999997</v>
      </c>
      <c r="F36" s="185">
        <f t="shared" si="16"/>
        <v>40407195.822222225</v>
      </c>
      <c r="G36" s="185">
        <f t="shared" si="16"/>
        <v>51668995.822222225</v>
      </c>
      <c r="H36" s="185">
        <f t="shared" si="16"/>
        <v>39733700</v>
      </c>
      <c r="I36" s="185">
        <f t="shared" si="16"/>
        <v>50987855.555555552</v>
      </c>
      <c r="J36" s="185">
        <f t="shared" si="16"/>
        <v>3116100</v>
      </c>
      <c r="K36" s="185">
        <f t="shared" si="16"/>
        <v>4221875</v>
      </c>
      <c r="L36" s="185">
        <f t="shared" ref="L36" si="17">SUM(L34:L35)</f>
        <v>4221875</v>
      </c>
      <c r="M36" s="185">
        <f t="shared" si="16"/>
        <v>5327650</v>
      </c>
      <c r="N36" s="185">
        <f t="shared" si="16"/>
        <v>3116100</v>
      </c>
      <c r="O36" s="185">
        <f t="shared" si="16"/>
        <v>5327650</v>
      </c>
      <c r="P36" s="185">
        <f>SUM(P34:P35)</f>
        <v>4221875</v>
      </c>
      <c r="Q36" s="185">
        <f t="shared" ref="Q36:R36" si="18">SUM(Q34:Q35)</f>
        <v>1728300</v>
      </c>
      <c r="R36" s="185">
        <f t="shared" si="18"/>
        <v>1904000</v>
      </c>
    </row>
    <row r="37" spans="1:18" s="72" customFormat="1" ht="13.5" x14ac:dyDescent="0.25">
      <c r="A37" s="82"/>
      <c r="B37" s="190" t="s">
        <v>115</v>
      </c>
      <c r="C37" s="190"/>
      <c r="D37" s="335">
        <f>D36/'Test Fits for Pro Forma'!C19</f>
        <v>518.99970778797945</v>
      </c>
      <c r="E37" s="335">
        <f>E36/'Test Fits for Pro Forma'!D19</f>
        <v>493.41920372637014</v>
      </c>
      <c r="F37" s="335">
        <f>F36/'Test Fits for Pro Forma'!E19</f>
        <v>526.44382544749169</v>
      </c>
      <c r="G37" s="335">
        <f>G36/'Test Fits for Pro Forma'!F19</f>
        <v>479.68245668868985</v>
      </c>
      <c r="H37" s="335">
        <f>H36/'Test Fits for Pro Forma'!G19</f>
        <v>436.89812524052996</v>
      </c>
      <c r="I37" s="335">
        <f>I36/'Test Fits for Pro Forma'!H19</f>
        <v>420.48371726501364</v>
      </c>
      <c r="J37" s="335">
        <f>J36/'Test Fits for Pro Forma'!I19</f>
        <v>536.79586563307498</v>
      </c>
      <c r="K37" s="335">
        <f>K36/'Test Fits for Pro Forma'!J19</f>
        <v>467.53875968992247</v>
      </c>
      <c r="L37" s="335">
        <f>L36/'Test Fits for Pro Forma'!N19</f>
        <v>327.27713178294573</v>
      </c>
      <c r="M37" s="335">
        <f>M36/'Test Fits for Pro Forma'!K19</f>
        <v>434.73276213790291</v>
      </c>
      <c r="N37" s="335"/>
      <c r="O37" s="335"/>
      <c r="P37" s="335">
        <f>P36/'Test Fits for Pro Forma'!M19</f>
        <v>436.36950904392762</v>
      </c>
      <c r="Q37" s="335">
        <f>Q36/'Test Fits for Pro Forma'!N19</f>
        <v>133.97674418604652</v>
      </c>
      <c r="R37" s="335">
        <f>R36/'Test Fits for Pro Forma'!O19</f>
        <v>458.9057604241986</v>
      </c>
    </row>
    <row r="38" spans="1:18" s="72" customFormat="1" ht="13.5" x14ac:dyDescent="0.25">
      <c r="A38" s="82"/>
      <c r="B38" s="186" t="s">
        <v>44</v>
      </c>
      <c r="C38" s="186"/>
      <c r="D38" s="186"/>
      <c r="E38" s="182"/>
      <c r="F38" s="182"/>
      <c r="G38" s="182"/>
      <c r="H38" s="182"/>
      <c r="I38" s="182"/>
      <c r="J38" s="182"/>
      <c r="K38" s="182"/>
      <c r="L38" s="182"/>
      <c r="M38" s="182"/>
      <c r="N38" s="182"/>
      <c r="O38" s="182"/>
      <c r="P38" s="182"/>
      <c r="Q38" s="182"/>
      <c r="R38" s="182"/>
    </row>
    <row r="39" spans="1:18" s="72" customFormat="1" ht="13.5" x14ac:dyDescent="0.25">
      <c r="A39" s="82"/>
      <c r="B39" s="187" t="s">
        <v>28</v>
      </c>
      <c r="C39" s="187"/>
      <c r="D39" s="182">
        <f>'6. Cost Assumptions'!$D14*D$36</f>
        <v>1912866.8429999999</v>
      </c>
      <c r="E39" s="182">
        <f>'6. Cost Assumptions'!$D14*E$36</f>
        <v>2176866.8429999999</v>
      </c>
      <c r="F39" s="182">
        <f>'6. Cost Assumptions'!$D14*F$36</f>
        <v>2424431.7493333332</v>
      </c>
      <c r="G39" s="182">
        <f>'6. Cost Assumptions'!$D14*G$36</f>
        <v>3100139.7493333332</v>
      </c>
      <c r="H39" s="182">
        <f>'6. Cost Assumptions'!$D14*H$36</f>
        <v>2384022</v>
      </c>
      <c r="I39" s="182">
        <f>'6. Cost Assumptions'!$D14*I$36</f>
        <v>3059271.333333333</v>
      </c>
      <c r="J39" s="182">
        <f>'6. Cost Assumptions'!$D14*J$36</f>
        <v>186966</v>
      </c>
      <c r="K39" s="182">
        <f>'6. Cost Assumptions'!$D14*K$36</f>
        <v>253312.5</v>
      </c>
      <c r="L39" s="182">
        <f>'6. Cost Assumptions'!$D14*L$36</f>
        <v>253312.5</v>
      </c>
      <c r="M39" s="182">
        <f>'6. Cost Assumptions'!$D14*M$36</f>
        <v>319659</v>
      </c>
      <c r="N39" s="182">
        <f>'6. Cost Assumptions'!$D14*N$36</f>
        <v>186966</v>
      </c>
      <c r="O39" s="182">
        <f>'6. Cost Assumptions'!$D14*O$36</f>
        <v>319659</v>
      </c>
      <c r="P39" s="182">
        <f>'6. Cost Assumptions'!$D14*P$36</f>
        <v>253312.5</v>
      </c>
      <c r="Q39" s="182">
        <f>'6. Cost Assumptions'!$D14*Q$36</f>
        <v>103698</v>
      </c>
      <c r="R39" s="182">
        <f>'6. Cost Assumptions'!$D14*R$36</f>
        <v>114240</v>
      </c>
    </row>
    <row r="40" spans="1:18" s="72" customFormat="1" ht="13.5" x14ac:dyDescent="0.25">
      <c r="A40" s="82"/>
      <c r="B40" s="187" t="s">
        <v>29</v>
      </c>
      <c r="C40" s="187"/>
      <c r="D40" s="182">
        <f>'6. Cost Assumptions'!$D15*D$36</f>
        <v>956433.42149999994</v>
      </c>
      <c r="E40" s="182">
        <f>'6. Cost Assumptions'!$D15*E$36</f>
        <v>1088433.4214999999</v>
      </c>
      <c r="F40" s="182">
        <f>'6. Cost Assumptions'!$D15*F$36</f>
        <v>1212215.8746666666</v>
      </c>
      <c r="G40" s="182">
        <f>'6. Cost Assumptions'!$D15*G$36</f>
        <v>1550069.8746666666</v>
      </c>
      <c r="H40" s="182">
        <f>'6. Cost Assumptions'!$D15*H$36</f>
        <v>1192011</v>
      </c>
      <c r="I40" s="182">
        <f>'6. Cost Assumptions'!$D15*I$36</f>
        <v>1529635.6666666665</v>
      </c>
      <c r="J40" s="182">
        <f>'6. Cost Assumptions'!$D15*J$36</f>
        <v>93483</v>
      </c>
      <c r="K40" s="182">
        <f>'6. Cost Assumptions'!$D15*K$36</f>
        <v>126656.25</v>
      </c>
      <c r="L40" s="182">
        <f>'6. Cost Assumptions'!$D15*L$36</f>
        <v>126656.25</v>
      </c>
      <c r="M40" s="182">
        <f>'6. Cost Assumptions'!$D15*M$36</f>
        <v>159829.5</v>
      </c>
      <c r="N40" s="182">
        <f>'6. Cost Assumptions'!$D15*N$36</f>
        <v>93483</v>
      </c>
      <c r="O40" s="182">
        <f>'6. Cost Assumptions'!$D15*O$36</f>
        <v>159829.5</v>
      </c>
      <c r="P40" s="182">
        <f>'6. Cost Assumptions'!$D15*P$36</f>
        <v>126656.25</v>
      </c>
      <c r="Q40" s="182">
        <f>'6. Cost Assumptions'!$D15*Q$36</f>
        <v>51849</v>
      </c>
      <c r="R40" s="182">
        <f>'6. Cost Assumptions'!$D15*R$36</f>
        <v>57120</v>
      </c>
    </row>
    <row r="41" spans="1:18" s="72" customFormat="1" ht="15.75" x14ac:dyDescent="0.4">
      <c r="A41" s="82"/>
      <c r="B41" s="191" t="s">
        <v>30</v>
      </c>
      <c r="C41" s="191"/>
      <c r="D41" s="184">
        <f>'6. Cost Assumptions'!$D16*D$36</f>
        <v>1594055.7025000001</v>
      </c>
      <c r="E41" s="184">
        <f>'6. Cost Assumptions'!$D16*E$36</f>
        <v>1814055.7024999999</v>
      </c>
      <c r="F41" s="184">
        <f>'6. Cost Assumptions'!$D16*F$36</f>
        <v>2020359.7911111114</v>
      </c>
      <c r="G41" s="184">
        <f>'6. Cost Assumptions'!$D16*G$36</f>
        <v>2583449.7911111116</v>
      </c>
      <c r="H41" s="184">
        <f>'6. Cost Assumptions'!$D16*H$36</f>
        <v>1986685</v>
      </c>
      <c r="I41" s="184">
        <f>'6. Cost Assumptions'!$D16*I$36</f>
        <v>2549392.777777778</v>
      </c>
      <c r="J41" s="184">
        <f>'6. Cost Assumptions'!$D16*J$36</f>
        <v>155805</v>
      </c>
      <c r="K41" s="184">
        <f>'6. Cost Assumptions'!$D16*K$36</f>
        <v>211093.75</v>
      </c>
      <c r="L41" s="184">
        <f>'6. Cost Assumptions'!$D16*L$36</f>
        <v>211093.75</v>
      </c>
      <c r="M41" s="184">
        <f>'6. Cost Assumptions'!$D16*M$36</f>
        <v>266382.5</v>
      </c>
      <c r="N41" s="184">
        <f>'6. Cost Assumptions'!$D16*N$36</f>
        <v>155805</v>
      </c>
      <c r="O41" s="184">
        <f>'6. Cost Assumptions'!$D16*O$36</f>
        <v>266382.5</v>
      </c>
      <c r="P41" s="184">
        <f>'6. Cost Assumptions'!$D16*P$36</f>
        <v>211093.75</v>
      </c>
      <c r="Q41" s="184">
        <f>'6. Cost Assumptions'!$D16*Q$36</f>
        <v>86415</v>
      </c>
      <c r="R41" s="184">
        <f>'6. Cost Assumptions'!$D16*R$36</f>
        <v>95200</v>
      </c>
    </row>
    <row r="42" spans="1:18" s="72" customFormat="1" ht="13.5" x14ac:dyDescent="0.25">
      <c r="A42" s="82"/>
      <c r="B42" s="124" t="s">
        <v>25</v>
      </c>
      <c r="C42" s="124"/>
      <c r="D42" s="182">
        <f>'6. Cost Assumptions'!$D$17*D36</f>
        <v>4463355.9670000002</v>
      </c>
      <c r="E42" s="182">
        <f>'6. Cost Assumptions'!$D$17*E36</f>
        <v>5079355.9670000002</v>
      </c>
      <c r="F42" s="182">
        <f>'6. Cost Assumptions'!$D$17*F36</f>
        <v>5657007.4151111124</v>
      </c>
      <c r="G42" s="182">
        <f>'6. Cost Assumptions'!$D$17*G36</f>
        <v>7233659.4151111124</v>
      </c>
      <c r="H42" s="182">
        <f>'6. Cost Assumptions'!$D$17*H36</f>
        <v>5562718.0000000009</v>
      </c>
      <c r="I42" s="182">
        <f>'6. Cost Assumptions'!$D$17*I36</f>
        <v>7138299.777777778</v>
      </c>
      <c r="J42" s="182">
        <f>'6. Cost Assumptions'!$D$17*J36</f>
        <v>436254.00000000006</v>
      </c>
      <c r="K42" s="182">
        <f>'6. Cost Assumptions'!$D$17*K36</f>
        <v>591062.5</v>
      </c>
      <c r="L42" s="182">
        <f>'6. Cost Assumptions'!$D$17*L36</f>
        <v>591062.5</v>
      </c>
      <c r="M42" s="182">
        <f>'6. Cost Assumptions'!$D$17*M36</f>
        <v>745871.00000000012</v>
      </c>
      <c r="N42" s="182">
        <f>'6. Cost Assumptions'!$D$17*N36</f>
        <v>436254.00000000006</v>
      </c>
      <c r="O42" s="182">
        <f>'6. Cost Assumptions'!$D$17*O36</f>
        <v>745871.00000000012</v>
      </c>
      <c r="P42" s="182">
        <f>'6. Cost Assumptions'!$D$17*P36</f>
        <v>591062.5</v>
      </c>
      <c r="Q42" s="182">
        <f>'6. Cost Assumptions'!$D$17*Q36</f>
        <v>241962.00000000003</v>
      </c>
      <c r="R42" s="182">
        <f>'6. Cost Assumptions'!$D$17*R36</f>
        <v>266560</v>
      </c>
    </row>
    <row r="43" spans="1:18" s="72" customFormat="1" ht="13.5" x14ac:dyDescent="0.25">
      <c r="A43" s="82"/>
      <c r="B43" s="192" t="s">
        <v>32</v>
      </c>
      <c r="C43" s="192"/>
      <c r="D43" s="193">
        <f>'6. Cost Assumptions'!$D$34*D8</f>
        <v>2857116.2790697673</v>
      </c>
      <c r="E43" s="193">
        <f>'6. Cost Assumptions'!$D$34*E8</f>
        <v>3420000</v>
      </c>
      <c r="F43" s="193">
        <f>'6. Cost Assumptions'!$D$34*F8</f>
        <v>3570000</v>
      </c>
      <c r="G43" s="193">
        <f>'6. Cost Assumptions'!$D$34*G8</f>
        <v>5010000</v>
      </c>
      <c r="H43" s="193">
        <f>'6. Cost Assumptions'!$D$34*H8</f>
        <v>4230000</v>
      </c>
      <c r="I43" s="193">
        <f>'6. Cost Assumptions'!$D$34*I8</f>
        <v>5640000</v>
      </c>
      <c r="J43" s="193">
        <f>'6. Cost Assumptions'!$D$34*J8</f>
        <v>270000</v>
      </c>
      <c r="K43" s="193">
        <f>'6. Cost Assumptions'!$D$34*K8</f>
        <v>420000</v>
      </c>
      <c r="L43" s="193">
        <f>'6. Cost Assumptions'!$D$34*L8</f>
        <v>420000</v>
      </c>
      <c r="M43" s="193">
        <f>'6. Cost Assumptions'!$D$34*M8</f>
        <v>570000</v>
      </c>
      <c r="N43" s="193">
        <f>'6. Cost Assumptions'!$D$34*N8</f>
        <v>300000</v>
      </c>
      <c r="O43" s="193">
        <f>'6. Cost Assumptions'!$D$34*O8</f>
        <v>600000</v>
      </c>
      <c r="P43" s="193">
        <f>'6. Cost Assumptions'!$D$34*P8</f>
        <v>450000</v>
      </c>
      <c r="Q43" s="193">
        <f>'6. Cost Assumptions'!$D$34*Q8</f>
        <v>90000</v>
      </c>
      <c r="R43" s="193">
        <f>'6. Cost Assumptions'!$D$34*R8</f>
        <v>120000</v>
      </c>
    </row>
    <row r="44" spans="1:18" s="72" customFormat="1" ht="15.75" x14ac:dyDescent="0.4">
      <c r="A44" s="82"/>
      <c r="B44" s="188"/>
      <c r="C44" s="188"/>
      <c r="D44" s="184">
        <f>SUM(D30,D36,D42:D43)*SUM('6. Cost Assumptions'!$D$29:$D$30)</f>
        <v>1582930.9885316612</v>
      </c>
      <c r="E44" s="184">
        <f>SUM(E30,E36,E42:E43)*SUM('6. Cost Assumptions'!$D$29:$D$30)</f>
        <v>1783735.934461894</v>
      </c>
      <c r="F44" s="212">
        <f>SUM(F30,F36,F42:F43)*SUM('6. Cost Assumptions'!$D$29:$D$30)</f>
        <v>1958439.9945612671</v>
      </c>
      <c r="G44" s="212">
        <f>SUM(G30,G36,G42:G43)*SUM('6. Cost Assumptions'!$D$29:$D$30)</f>
        <v>2472375.0262362668</v>
      </c>
      <c r="H44" s="212">
        <f>SUM(H30,H36,H42:H43)*SUM('6. Cost Assumptions'!$D$29:$D$30)</f>
        <v>1954560.3996750002</v>
      </c>
      <c r="I44" s="212">
        <f>SUM(I30,I36,I42:I43)*SUM('6. Cost Assumptions'!$D$29:$D$30)</f>
        <v>2467101.9453166667</v>
      </c>
      <c r="J44" s="212">
        <f>SUM(J30,J36,J42:J43)*SUM('6. Cost Assumptions'!$D$29:$D$30)</f>
        <v>159024.67075625001</v>
      </c>
      <c r="K44" s="212">
        <f>SUM(K30,K36,K42:K43)*SUM('6. Cost Assumptions'!$D$29:$D$30)</f>
        <v>209796.86060937503</v>
      </c>
      <c r="L44" s="212">
        <f>SUM(L30,L36,L42:L43)*SUM('6. Cost Assumptions'!$D$29:$D$30)</f>
        <v>209796.86060937503</v>
      </c>
      <c r="M44" s="212">
        <f>SUM(M30,M36,M42:M43)*SUM('6. Cost Assumptions'!$D$29:$D$30)</f>
        <v>260569.05046250005</v>
      </c>
      <c r="N44" s="212">
        <f>SUM(N30,N36,N42:N43)*SUM('6. Cost Assumptions'!$D$29:$D$30)</f>
        <v>160104.48325625001</v>
      </c>
      <c r="O44" s="212">
        <f>SUM(O30,O36,O42:O43)*SUM('6. Cost Assumptions'!$D$29:$D$30)</f>
        <v>261648.86296250005</v>
      </c>
      <c r="P44" s="212">
        <f>SUM(P30,P36,P42:P43)*SUM('6. Cost Assumptions'!$D$29:$D$30)</f>
        <v>210876.67310937503</v>
      </c>
      <c r="Q44" s="212" t="e">
        <f>SUM(Q30,Q36,Q42:Q43)*SUM('6. Cost Assumptions'!$D$29:$D$30)</f>
        <v>#REF!</v>
      </c>
      <c r="R44" s="212" t="e">
        <f>SUM(R30,R36,R42:R43)*SUM('6. Cost Assumptions'!$D$29:$D$30)</f>
        <v>#REF!</v>
      </c>
    </row>
    <row r="45" spans="1:18" s="72" customFormat="1" ht="13.5" x14ac:dyDescent="0.25">
      <c r="A45" s="82"/>
      <c r="B45" s="194" t="s">
        <v>45</v>
      </c>
      <c r="C45" s="194"/>
      <c r="D45" s="185">
        <f>SUM(D42:D44)</f>
        <v>8903403.2346014287</v>
      </c>
      <c r="E45" s="185">
        <f>SUM(E42:E44)</f>
        <v>10283091.901461894</v>
      </c>
      <c r="F45" s="185">
        <f t="shared" ref="F45:I45" si="19">SUM(F42:F44)</f>
        <v>11185447.409672379</v>
      </c>
      <c r="G45" s="185">
        <f t="shared" si="19"/>
        <v>14716034.441347379</v>
      </c>
      <c r="H45" s="185">
        <f t="shared" si="19"/>
        <v>11747278.399675</v>
      </c>
      <c r="I45" s="185">
        <f t="shared" si="19"/>
        <v>15245401.723094445</v>
      </c>
      <c r="J45" s="185">
        <f t="shared" ref="J45:K45" si="20">SUM(J42:J44)</f>
        <v>865278.67075625004</v>
      </c>
      <c r="K45" s="185">
        <f t="shared" si="20"/>
        <v>1220859.3606093749</v>
      </c>
      <c r="L45" s="185">
        <f>SUM(L42:L44)</f>
        <v>1220859.3606093749</v>
      </c>
      <c r="M45" s="185">
        <f t="shared" ref="M45:N45" si="21">SUM(M42:M44)</f>
        <v>1576440.0504625</v>
      </c>
      <c r="N45" s="185">
        <f t="shared" si="21"/>
        <v>896358.48325625004</v>
      </c>
      <c r="O45" s="185">
        <f t="shared" ref="O45" si="22">SUM(O42:O44)</f>
        <v>1607519.8629625</v>
      </c>
      <c r="P45" s="185">
        <f>SUM(P42:P44)</f>
        <v>1251939.1731093749</v>
      </c>
      <c r="Q45" s="185" t="e">
        <f t="shared" ref="Q45:R45" si="23">SUM(Q42:Q44)</f>
        <v>#REF!</v>
      </c>
      <c r="R45" s="185" t="e">
        <f t="shared" si="23"/>
        <v>#REF!</v>
      </c>
    </row>
    <row r="46" spans="1:18" s="72" customFormat="1" ht="13.5" x14ac:dyDescent="0.25">
      <c r="A46" s="82"/>
      <c r="B46" s="78"/>
      <c r="C46" s="78"/>
      <c r="D46" s="195"/>
      <c r="E46" s="195"/>
      <c r="F46" s="195"/>
      <c r="G46" s="195"/>
      <c r="H46" s="195"/>
      <c r="I46" s="195"/>
      <c r="J46" s="195"/>
      <c r="K46" s="195"/>
      <c r="L46" s="195"/>
      <c r="M46" s="195"/>
      <c r="N46" s="195"/>
      <c r="O46" s="195"/>
      <c r="P46" s="195"/>
      <c r="Q46" s="195"/>
      <c r="R46" s="195"/>
    </row>
    <row r="47" spans="1:18" s="72" customFormat="1" ht="15.75" x14ac:dyDescent="0.4">
      <c r="A47" s="82"/>
      <c r="B47" s="196" t="s">
        <v>31</v>
      </c>
      <c r="C47" s="196"/>
      <c r="D47" s="197">
        <f>'6. Cost Assumptions'!$D$19*('Pro Forma'!D36+D45)</f>
        <v>2039225.8642300714</v>
      </c>
      <c r="E47" s="197">
        <f>'6. Cost Assumptions'!$D$19*('Pro Forma'!E36+E45)</f>
        <v>2328210.2975730947</v>
      </c>
      <c r="F47" s="197">
        <f>'6. Cost Assumptions'!$D$19*('Pro Forma'!F36+F45)</f>
        <v>2579632.1615947303</v>
      </c>
      <c r="G47" s="197">
        <f>'6. Cost Assumptions'!$D$19*('Pro Forma'!G36+G45)</f>
        <v>3319251.5131784808</v>
      </c>
      <c r="H47" s="197">
        <f>'6. Cost Assumptions'!$D$19*('Pro Forma'!H36+H45)</f>
        <v>2574048.9199837502</v>
      </c>
      <c r="I47" s="197">
        <f>'6. Cost Assumptions'!$D$19*('Pro Forma'!I36+I45)</f>
        <v>3311662.8639325001</v>
      </c>
      <c r="J47" s="197">
        <f>'6. Cost Assumptions'!$D$19*('Pro Forma'!J36+J45)</f>
        <v>199068.93353781253</v>
      </c>
      <c r="K47" s="197">
        <f>'6. Cost Assumptions'!$D$19*('Pro Forma'!K36)</f>
        <v>211093.75</v>
      </c>
      <c r="L47" s="197">
        <f>'6. Cost Assumptions'!$D$19*('Pro Forma'!L36+L45)</f>
        <v>272136.71803046874</v>
      </c>
      <c r="M47" s="197">
        <f>'6. Cost Assumptions'!$D$19*('Pro Forma'!M36+M45)</f>
        <v>345204.50252312503</v>
      </c>
      <c r="N47" s="197">
        <f>'6. Cost Assumptions'!$D$19*('Pro Forma'!N36)</f>
        <v>155805</v>
      </c>
      <c r="O47" s="197">
        <f>'6. Cost Assumptions'!$D$19*('Pro Forma'!O36)</f>
        <v>266382.5</v>
      </c>
      <c r="P47" s="197">
        <f>'6. Cost Assumptions'!$D$19*('Pro Forma'!P36+P45)</f>
        <v>273690.70865546877</v>
      </c>
      <c r="Q47" s="197" t="e">
        <f>'6. Cost Assumptions'!$D$19*('Pro Forma'!Q36+Q45)</f>
        <v>#REF!</v>
      </c>
      <c r="R47" s="197" t="e">
        <f>'6. Cost Assumptions'!$D$19*('Pro Forma'!R36+R45)</f>
        <v>#REF!</v>
      </c>
    </row>
    <row r="48" spans="1:18" s="72" customFormat="1" ht="13.5" x14ac:dyDescent="0.25">
      <c r="A48" s="82"/>
      <c r="B48" s="124"/>
      <c r="C48" s="124"/>
      <c r="D48" s="124"/>
      <c r="E48" s="87"/>
      <c r="F48" s="87"/>
      <c r="G48" s="87"/>
      <c r="H48" s="87"/>
      <c r="I48" s="87"/>
      <c r="J48" s="87"/>
      <c r="K48" s="87"/>
      <c r="L48" s="87"/>
      <c r="M48" s="87"/>
      <c r="N48" s="87"/>
      <c r="O48" s="87"/>
      <c r="P48" s="87"/>
      <c r="Q48" s="87"/>
      <c r="R48" s="87"/>
    </row>
    <row r="49" spans="1:18" s="72" customFormat="1" ht="13.5" x14ac:dyDescent="0.25">
      <c r="A49" s="82"/>
      <c r="B49" s="78" t="s">
        <v>107</v>
      </c>
      <c r="C49" s="78"/>
      <c r="D49" s="185">
        <f>SUM(D30,D36,D45,D47)</f>
        <v>47600097.148831502</v>
      </c>
      <c r="E49" s="185">
        <f>SUM(E30,E36,E45,E47)</f>
        <v>53668770.249034986</v>
      </c>
      <c r="F49" s="185">
        <f t="shared" ref="F49:I49" si="24">SUM(F30,F36,F45,F47)</f>
        <v>58948629.393489338</v>
      </c>
      <c r="G49" s="185">
        <f t="shared" si="24"/>
        <v>74480635.776748091</v>
      </c>
      <c r="H49" s="185">
        <f t="shared" si="24"/>
        <v>58831381.319658749</v>
      </c>
      <c r="I49" s="185">
        <f t="shared" si="24"/>
        <v>74321274.142582506</v>
      </c>
      <c r="J49" s="185">
        <f t="shared" ref="J49:K49" si="25">SUM(J30,J36,J45,J47)</f>
        <v>4776212.6042940626</v>
      </c>
      <c r="K49" s="185">
        <f t="shared" si="25"/>
        <v>6249593.1106093749</v>
      </c>
      <c r="L49" s="185">
        <f>SUM(L30,L36,L45,L47)</f>
        <v>6310636.0786398435</v>
      </c>
      <c r="M49" s="185">
        <f t="shared" ref="M49:N49" si="26">SUM(M30,M36,M45,M47)</f>
        <v>7845059.5529856253</v>
      </c>
      <c r="N49" s="185">
        <f t="shared" si="26"/>
        <v>4764028.4832562497</v>
      </c>
      <c r="O49" s="185">
        <f t="shared" ref="O49" si="27">SUM(O30,O36,O45,O47)</f>
        <v>7797317.3629625002</v>
      </c>
      <c r="P49" s="185">
        <f>SUM(P30,P36,P45,P47)</f>
        <v>6343269.8817648441</v>
      </c>
      <c r="Q49" s="185" t="e">
        <f t="shared" ref="Q49:R49" si="28">SUM(Q30,Q36,Q45,Q47)</f>
        <v>#REF!</v>
      </c>
      <c r="R49" s="185" t="e">
        <f t="shared" si="28"/>
        <v>#REF!</v>
      </c>
    </row>
    <row r="50" spans="1:18" s="72" customFormat="1" ht="13.5" x14ac:dyDescent="0.25">
      <c r="A50" s="82"/>
      <c r="B50" s="166"/>
      <c r="C50" s="166"/>
      <c r="D50" s="166"/>
      <c r="E50" s="198"/>
      <c r="F50" s="199"/>
      <c r="G50" s="199"/>
      <c r="H50" s="199"/>
      <c r="I50" s="199"/>
      <c r="J50" s="199"/>
      <c r="K50" s="199"/>
      <c r="M50" s="199"/>
      <c r="N50" s="199"/>
      <c r="O50" s="199"/>
      <c r="P50" s="199"/>
      <c r="Q50" s="199"/>
      <c r="R50" s="199"/>
    </row>
    <row r="51" spans="1:18" s="72" customFormat="1" ht="13.5" x14ac:dyDescent="0.25">
      <c r="A51" s="82"/>
      <c r="B51" s="89" t="s">
        <v>431</v>
      </c>
      <c r="C51" s="89"/>
      <c r="D51" s="336">
        <f t="shared" ref="D51:O51" si="29">D49/D8</f>
        <v>499805.66941779514</v>
      </c>
      <c r="E51" s="336">
        <f t="shared" si="29"/>
        <v>470778.68639504374</v>
      </c>
      <c r="F51" s="336">
        <f t="shared" si="29"/>
        <v>495366.63355873391</v>
      </c>
      <c r="G51" s="336">
        <f t="shared" si="29"/>
        <v>445991.83099849155</v>
      </c>
      <c r="H51" s="336">
        <f t="shared" si="29"/>
        <v>417243.83914651594</v>
      </c>
      <c r="I51" s="336">
        <f t="shared" si="29"/>
        <v>395325.92629033246</v>
      </c>
      <c r="J51" s="336">
        <f t="shared" si="29"/>
        <v>530690.28936600697</v>
      </c>
      <c r="K51" s="336">
        <f t="shared" si="29"/>
        <v>446399.50790066965</v>
      </c>
      <c r="L51" s="336">
        <f>L49/L8</f>
        <v>450759.71990284597</v>
      </c>
      <c r="M51" s="336">
        <f t="shared" si="29"/>
        <v>412897.87120976974</v>
      </c>
      <c r="N51" s="336">
        <f t="shared" si="29"/>
        <v>476402.84832562495</v>
      </c>
      <c r="O51" s="336">
        <f t="shared" si="29"/>
        <v>389865.86814812501</v>
      </c>
      <c r="P51" s="336">
        <f>P49/P8</f>
        <v>422884.65878432296</v>
      </c>
      <c r="Q51" s="336" t="e">
        <f t="shared" ref="Q51:R51" si="30">Q49/Q8</f>
        <v>#REF!</v>
      </c>
      <c r="R51" s="336" t="e">
        <f t="shared" si="30"/>
        <v>#REF!</v>
      </c>
    </row>
    <row r="52" spans="1:18" s="72" customFormat="1" ht="13.5" x14ac:dyDescent="0.25">
      <c r="A52" s="82"/>
      <c r="B52" s="85"/>
      <c r="C52" s="85"/>
      <c r="D52" s="85"/>
      <c r="E52" s="336"/>
      <c r="F52" s="199"/>
      <c r="G52" s="199"/>
      <c r="H52" s="199"/>
      <c r="I52" s="199"/>
      <c r="J52" s="199"/>
      <c r="K52" s="199"/>
      <c r="M52" s="199"/>
      <c r="N52" s="199"/>
      <c r="O52" s="199"/>
      <c r="P52" s="199"/>
    </row>
    <row r="53" spans="1:18" s="72" customFormat="1" ht="13.5" x14ac:dyDescent="0.25">
      <c r="A53" s="109"/>
      <c r="B53" s="209" t="s">
        <v>119</v>
      </c>
      <c r="C53" s="209"/>
      <c r="D53" s="209"/>
      <c r="E53" s="210"/>
      <c r="F53" s="210"/>
      <c r="G53" s="210"/>
      <c r="H53" s="210"/>
      <c r="I53" s="210"/>
      <c r="J53" s="210"/>
      <c r="K53" s="210"/>
      <c r="L53" s="210"/>
      <c r="M53" s="210"/>
      <c r="N53" s="210"/>
      <c r="O53" s="210"/>
      <c r="P53" s="210"/>
      <c r="Q53" s="210"/>
      <c r="R53" s="210"/>
    </row>
    <row r="54" spans="1:18" s="72" customFormat="1" ht="13.5" hidden="1" x14ac:dyDescent="0.25">
      <c r="A54" s="83"/>
      <c r="B54" s="82" t="s">
        <v>127</v>
      </c>
      <c r="C54" s="82"/>
      <c r="D54" s="82"/>
      <c r="E54" s="200">
        <f>E21</f>
        <v>47888988.564705878</v>
      </c>
      <c r="F54" s="200">
        <f>F21</f>
        <v>49989382.79999999</v>
      </c>
      <c r="G54" s="200">
        <f>G21</f>
        <v>70153167.458823532</v>
      </c>
      <c r="H54" s="200"/>
      <c r="I54" s="200"/>
      <c r="J54" s="200"/>
      <c r="K54" s="200"/>
      <c r="M54" s="200"/>
      <c r="N54" s="200"/>
      <c r="O54" s="200"/>
      <c r="P54" s="200"/>
    </row>
    <row r="55" spans="1:18" s="72" customFormat="1" ht="15.75" hidden="1" x14ac:dyDescent="0.4">
      <c r="A55" s="82"/>
      <c r="B55" s="183" t="s">
        <v>107</v>
      </c>
      <c r="C55" s="183"/>
      <c r="D55" s="183"/>
      <c r="E55" s="201">
        <f>E49</f>
        <v>53668770.249034986</v>
      </c>
      <c r="F55" s="201">
        <f t="shared" ref="F55:G55" si="31">F49</f>
        <v>58948629.393489338</v>
      </c>
      <c r="G55" s="201">
        <f t="shared" si="31"/>
        <v>74480635.776748091</v>
      </c>
      <c r="H55" s="201"/>
      <c r="I55" s="201"/>
      <c r="J55" s="201"/>
      <c r="K55" s="201"/>
      <c r="M55" s="201"/>
      <c r="N55" s="201"/>
      <c r="O55" s="201"/>
      <c r="P55" s="201"/>
    </row>
    <row r="56" spans="1:18" s="72" customFormat="1" ht="13.5" hidden="1" x14ac:dyDescent="0.25">
      <c r="A56" s="82"/>
      <c r="B56" s="82" t="s">
        <v>128</v>
      </c>
      <c r="C56" s="82"/>
      <c r="D56" s="82"/>
      <c r="E56" s="202">
        <f>E54-E55</f>
        <v>-5779781.6843291074</v>
      </c>
      <c r="F56" s="202">
        <f t="shared" ref="F56:G56" si="32">F54-F55</f>
        <v>-8959246.5934893489</v>
      </c>
      <c r="G56" s="202">
        <f t="shared" si="32"/>
        <v>-4327468.3179245591</v>
      </c>
      <c r="H56" s="202"/>
      <c r="I56" s="202"/>
      <c r="J56" s="202"/>
      <c r="K56" s="202"/>
      <c r="M56" s="202"/>
      <c r="N56" s="202"/>
      <c r="O56" s="202"/>
      <c r="P56" s="202"/>
    </row>
    <row r="57" spans="1:18" s="72" customFormat="1" ht="13.5" hidden="1" x14ac:dyDescent="0.25">
      <c r="A57" s="82"/>
      <c r="B57" s="82" t="s">
        <v>129</v>
      </c>
      <c r="C57" s="82"/>
      <c r="D57" s="82"/>
      <c r="E57" s="203">
        <f>E56/E54</f>
        <v>-0.1206912456820773</v>
      </c>
      <c r="F57" s="203">
        <f t="shared" ref="F57:G57" si="33">F56/F54</f>
        <v>-0.17922298879611995</v>
      </c>
      <c r="G57" s="203">
        <f t="shared" si="33"/>
        <v>-6.168600042848487E-2</v>
      </c>
      <c r="H57" s="203"/>
      <c r="I57" s="203"/>
      <c r="J57" s="203"/>
      <c r="K57" s="203"/>
      <c r="M57" s="203"/>
      <c r="N57" s="203"/>
      <c r="O57" s="203"/>
      <c r="P57" s="203"/>
    </row>
    <row r="58" spans="1:18" s="72" customFormat="1" ht="13.5" x14ac:dyDescent="0.25">
      <c r="A58" s="83"/>
      <c r="B58" s="85" t="s">
        <v>103</v>
      </c>
      <c r="C58" s="85"/>
      <c r="D58" s="85"/>
      <c r="E58" s="173"/>
      <c r="F58" s="173"/>
      <c r="G58" s="173"/>
      <c r="H58" s="173"/>
      <c r="I58" s="173"/>
      <c r="J58" s="173"/>
      <c r="K58" s="173"/>
      <c r="M58" s="173"/>
      <c r="N58" s="173"/>
      <c r="O58" s="173"/>
      <c r="P58" s="173"/>
    </row>
    <row r="59" spans="1:18" s="72" customFormat="1" ht="13.5" x14ac:dyDescent="0.25">
      <c r="A59" s="83"/>
      <c r="B59" s="82" t="s">
        <v>436</v>
      </c>
      <c r="C59" s="82"/>
      <c r="D59" s="200">
        <f>D20</f>
        <v>1700303.3259348839</v>
      </c>
      <c r="E59" s="200">
        <f>E20</f>
        <v>2035282.014</v>
      </c>
      <c r="F59" s="200">
        <f t="shared" ref="F59:I59" si="34">F20</f>
        <v>2124548.7689999999</v>
      </c>
      <c r="G59" s="200">
        <f t="shared" si="34"/>
        <v>2981509.6170000001</v>
      </c>
      <c r="H59" s="200">
        <f t="shared" si="34"/>
        <v>2517322.4909999999</v>
      </c>
      <c r="I59" s="200">
        <f t="shared" si="34"/>
        <v>3356429.9879999999</v>
      </c>
      <c r="J59" s="200">
        <f t="shared" ref="J59:K59" si="35">J20</f>
        <v>160680.15899999999</v>
      </c>
      <c r="K59" s="200">
        <f t="shared" si="35"/>
        <v>249946.91400000002</v>
      </c>
      <c r="L59" s="200">
        <f>L20</f>
        <v>249946.91400000002</v>
      </c>
      <c r="M59" s="200">
        <f t="shared" ref="M59:N59" si="36">M20</f>
        <v>339213.66899999999</v>
      </c>
      <c r="N59" s="200">
        <f t="shared" si="36"/>
        <v>178533.51</v>
      </c>
      <c r="O59" s="200">
        <f t="shared" ref="O59" si="37">O20</f>
        <v>357067.02</v>
      </c>
      <c r="P59" s="200">
        <f>P20</f>
        <v>267800.26500000001</v>
      </c>
      <c r="Q59" s="200">
        <f t="shared" ref="Q59:R59" si="38">Q20</f>
        <v>53280</v>
      </c>
      <c r="R59" s="200">
        <f t="shared" si="38"/>
        <v>71040</v>
      </c>
    </row>
    <row r="60" spans="1:18" s="72" customFormat="1" ht="15.75" x14ac:dyDescent="0.4">
      <c r="A60" s="82"/>
      <c r="B60" s="183" t="s">
        <v>107</v>
      </c>
      <c r="C60" s="183"/>
      <c r="D60" s="201">
        <f>D49</f>
        <v>47600097.148831502</v>
      </c>
      <c r="E60" s="201">
        <f>E49</f>
        <v>53668770.249034986</v>
      </c>
      <c r="F60" s="201">
        <f t="shared" ref="F60:I60" si="39">F49</f>
        <v>58948629.393489338</v>
      </c>
      <c r="G60" s="201">
        <f t="shared" si="39"/>
        <v>74480635.776748091</v>
      </c>
      <c r="H60" s="201">
        <f t="shared" si="39"/>
        <v>58831381.319658749</v>
      </c>
      <c r="I60" s="201">
        <f t="shared" si="39"/>
        <v>74321274.142582506</v>
      </c>
      <c r="J60" s="201">
        <f t="shared" ref="J60:K60" si="40">J49</f>
        <v>4776212.6042940626</v>
      </c>
      <c r="K60" s="201">
        <f t="shared" si="40"/>
        <v>6249593.1106093749</v>
      </c>
      <c r="L60" s="201">
        <f>L49</f>
        <v>6310636.0786398435</v>
      </c>
      <c r="M60" s="201">
        <f t="shared" ref="M60:N60" si="41">M49</f>
        <v>7845059.5529856253</v>
      </c>
      <c r="N60" s="201">
        <f t="shared" si="41"/>
        <v>4764028.4832562497</v>
      </c>
      <c r="O60" s="201">
        <f t="shared" ref="O60" si="42">O49</f>
        <v>7797317.3629625002</v>
      </c>
      <c r="P60" s="201">
        <f>P49</f>
        <v>6343269.8817648441</v>
      </c>
      <c r="Q60" s="201" t="e">
        <f t="shared" ref="Q60:R60" si="43">Q49</f>
        <v>#REF!</v>
      </c>
      <c r="R60" s="201" t="e">
        <f t="shared" si="43"/>
        <v>#REF!</v>
      </c>
    </row>
    <row r="61" spans="1:18" s="72" customFormat="1" ht="13.5" x14ac:dyDescent="0.25">
      <c r="A61" s="82"/>
      <c r="B61" s="78" t="s">
        <v>126</v>
      </c>
      <c r="C61" s="78"/>
      <c r="D61" s="420">
        <f>D20/D49</f>
        <v>3.5720585204238882E-2</v>
      </c>
      <c r="E61" s="420">
        <f>E20/E49</f>
        <v>3.7923023101812108E-2</v>
      </c>
      <c r="F61" s="420">
        <f t="shared" ref="F61:I61" si="44">F20/F49</f>
        <v>3.6040681367133676E-2</v>
      </c>
      <c r="G61" s="420">
        <f t="shared" si="44"/>
        <v>4.0030668185176657E-2</v>
      </c>
      <c r="H61" s="420">
        <f t="shared" si="44"/>
        <v>4.2788770797717549E-2</v>
      </c>
      <c r="I61" s="420">
        <f t="shared" si="44"/>
        <v>4.5161093196018381E-2</v>
      </c>
      <c r="J61" s="419">
        <f t="shared" ref="J61:K61" si="45">J20/J49</f>
        <v>3.3641751804670543E-2</v>
      </c>
      <c r="K61" s="419">
        <f t="shared" si="45"/>
        <v>3.9994109948644101E-2</v>
      </c>
      <c r="L61" s="419">
        <f>L20/L49</f>
        <v>3.9607245749127731E-2</v>
      </c>
      <c r="M61" s="419">
        <f t="shared" ref="M61:N61" si="46">M20/M49</f>
        <v>4.3239145185444014E-2</v>
      </c>
      <c r="N61" s="419">
        <f t="shared" si="46"/>
        <v>3.7475323799485559E-2</v>
      </c>
      <c r="O61" s="419">
        <f t="shared" ref="O61" si="47">O20/O49</f>
        <v>4.5793572760816359E-2</v>
      </c>
      <c r="P61" s="419">
        <f>P20/P49</f>
        <v>4.2218015312552301E-2</v>
      </c>
      <c r="Q61" s="419" t="e">
        <f t="shared" ref="Q61:R61" si="48">Q20/Q49</f>
        <v>#REF!</v>
      </c>
      <c r="R61" s="419" t="e">
        <f t="shared" si="48"/>
        <v>#REF!</v>
      </c>
    </row>
    <row r="62" spans="1:18" s="72" customFormat="1" ht="13.5" x14ac:dyDescent="0.25">
      <c r="A62" s="82"/>
      <c r="B62" s="85" t="s">
        <v>499</v>
      </c>
      <c r="C62" s="85"/>
      <c r="D62" s="403">
        <v>5.5E-2</v>
      </c>
      <c r="E62" s="403">
        <v>5.5E-2</v>
      </c>
      <c r="F62" s="403">
        <v>5.5E-2</v>
      </c>
      <c r="G62" s="403">
        <v>5.5E-2</v>
      </c>
      <c r="H62" s="403">
        <v>5.5E-2</v>
      </c>
      <c r="I62" s="403">
        <v>5.5E-2</v>
      </c>
      <c r="J62" s="403">
        <v>5.5E-2</v>
      </c>
      <c r="K62" s="403">
        <v>5.5E-2</v>
      </c>
      <c r="L62" s="403">
        <v>5.5E-2</v>
      </c>
      <c r="M62" s="403">
        <v>5.5E-2</v>
      </c>
      <c r="N62" s="403">
        <v>5.5E-2</v>
      </c>
      <c r="O62" s="204"/>
      <c r="P62" s="403">
        <v>5.5E-2</v>
      </c>
      <c r="Q62" s="403">
        <v>5.5E-2</v>
      </c>
      <c r="R62" s="403">
        <v>5.5E-2</v>
      </c>
    </row>
    <row r="63" spans="1:18" s="72" customFormat="1" ht="13.5" x14ac:dyDescent="0.25">
      <c r="A63" s="102"/>
      <c r="B63" s="102"/>
      <c r="C63" s="102"/>
      <c r="D63" s="102"/>
      <c r="E63" s="205"/>
      <c r="F63" s="205"/>
      <c r="G63" s="205"/>
      <c r="H63" s="205"/>
      <c r="I63" s="205"/>
      <c r="J63" s="205"/>
      <c r="K63" s="205"/>
      <c r="L63" s="205"/>
      <c r="M63" s="205"/>
      <c r="N63" s="205"/>
      <c r="O63" s="205"/>
      <c r="P63" s="205"/>
      <c r="Q63" s="205"/>
      <c r="R63" s="205"/>
    </row>
    <row r="64" spans="1:18" s="72" customFormat="1" ht="13.5" x14ac:dyDescent="0.25">
      <c r="A64" s="82"/>
      <c r="B64" s="82"/>
      <c r="C64" s="82"/>
      <c r="D64" s="82"/>
      <c r="E64" s="182"/>
      <c r="F64" s="182"/>
      <c r="G64" s="182"/>
      <c r="H64" s="182"/>
      <c r="I64" s="182"/>
      <c r="J64" s="182"/>
      <c r="K64" s="182"/>
      <c r="L64" s="182"/>
      <c r="M64" s="182"/>
      <c r="N64" s="182"/>
      <c r="O64" s="182"/>
      <c r="P64" s="182"/>
      <c r="Q64" s="182"/>
      <c r="R64" s="182"/>
    </row>
    <row r="65" spans="1:25" s="72" customFormat="1" ht="13.5" x14ac:dyDescent="0.25">
      <c r="A65" s="82"/>
      <c r="B65" s="72" t="s">
        <v>435</v>
      </c>
      <c r="D65" s="206">
        <f t="shared" ref="D65:O65" si="49">D21-D49</f>
        <v>-7592960.0680107102</v>
      </c>
      <c r="E65" s="206">
        <f t="shared" si="49"/>
        <v>-5779781.6843291074</v>
      </c>
      <c r="F65" s="206">
        <f t="shared" si="49"/>
        <v>-8959246.5934893489</v>
      </c>
      <c r="G65" s="206">
        <f t="shared" si="49"/>
        <v>-4327468.3179245591</v>
      </c>
      <c r="H65" s="206">
        <f t="shared" si="49"/>
        <v>399736.11563536525</v>
      </c>
      <c r="I65" s="206">
        <f t="shared" si="49"/>
        <v>4653549.1044763029</v>
      </c>
      <c r="J65" s="206">
        <f t="shared" si="49"/>
        <v>-995502.98076465167</v>
      </c>
      <c r="K65" s="206">
        <f t="shared" si="49"/>
        <v>-368489.2517858455</v>
      </c>
      <c r="L65" s="206">
        <f t="shared" ref="L65" si="50">L21-L49</f>
        <v>-429532.21981631406</v>
      </c>
      <c r="M65" s="206">
        <f t="shared" si="49"/>
        <v>136438.54113202076</v>
      </c>
      <c r="N65" s="206">
        <f t="shared" si="49"/>
        <v>-563240.0126680145</v>
      </c>
      <c r="O65" s="206">
        <f t="shared" si="49"/>
        <v>604259.57821397018</v>
      </c>
      <c r="P65" s="206">
        <f>P21-P49</f>
        <v>-42087.175882491283</v>
      </c>
      <c r="Q65" s="206" t="e">
        <f t="shared" ref="Q65:R65" si="51">Q21-Q49</f>
        <v>#REF!</v>
      </c>
      <c r="R65" s="206" t="e">
        <f t="shared" si="51"/>
        <v>#REF!</v>
      </c>
    </row>
    <row r="66" spans="1:25" s="72" customFormat="1" ht="13.5" x14ac:dyDescent="0.25">
      <c r="A66" s="82"/>
      <c r="B66" s="72" t="s">
        <v>434</v>
      </c>
      <c r="D66" s="337">
        <f t="shared" ref="D66:O66" si="52">D65/D49</f>
        <v>-0.15951564225320292</v>
      </c>
      <c r="E66" s="337">
        <f t="shared" si="52"/>
        <v>-0.10769357407500935</v>
      </c>
      <c r="F66" s="337">
        <f t="shared" si="52"/>
        <v>-0.15198396783214888</v>
      </c>
      <c r="G66" s="337">
        <f t="shared" si="52"/>
        <v>-5.8101925054666888E-2</v>
      </c>
      <c r="H66" s="337">
        <f t="shared" si="52"/>
        <v>6.7946070051187425E-3</v>
      </c>
      <c r="I66" s="337">
        <f t="shared" si="52"/>
        <v>6.2613957553373581E-2</v>
      </c>
      <c r="J66" s="337">
        <f t="shared" si="52"/>
        <v>-0.20842936930186962</v>
      </c>
      <c r="K66" s="337">
        <f t="shared" si="52"/>
        <v>-5.8962118855433045E-2</v>
      </c>
      <c r="L66" s="337">
        <f t="shared" ref="L66" si="53">L65/L49</f>
        <v>-6.8064805902877043E-2</v>
      </c>
      <c r="M66" s="337">
        <f t="shared" si="52"/>
        <v>1.7391651422212061E-2</v>
      </c>
      <c r="N66" s="337">
        <f t="shared" si="52"/>
        <v>-0.11822767530622229</v>
      </c>
      <c r="O66" s="337">
        <f t="shared" si="52"/>
        <v>7.7495829666267266E-2</v>
      </c>
      <c r="P66" s="337">
        <f>P65/P49</f>
        <v>-6.6349338222988644E-3</v>
      </c>
      <c r="Q66" s="337" t="e">
        <f t="shared" ref="Q66:R66" si="54">Q65/Q49</f>
        <v>#REF!</v>
      </c>
      <c r="R66" s="337" t="e">
        <f t="shared" si="54"/>
        <v>#REF!</v>
      </c>
    </row>
    <row r="67" spans="1:25" s="72" customFormat="1" ht="13.5" x14ac:dyDescent="0.25">
      <c r="A67" s="82"/>
      <c r="E67" s="206"/>
      <c r="F67" s="206"/>
      <c r="G67" s="206"/>
      <c r="H67" s="206"/>
      <c r="I67" s="206"/>
      <c r="J67" s="206"/>
      <c r="K67" s="206"/>
      <c r="M67" s="206"/>
      <c r="N67" s="206"/>
      <c r="O67" s="206"/>
      <c r="P67" s="206"/>
      <c r="Q67" s="206"/>
      <c r="R67" s="206"/>
    </row>
    <row r="68" spans="1:25" s="72" customFormat="1" ht="38.25" x14ac:dyDescent="0.25">
      <c r="A68" s="82"/>
      <c r="D68" s="338" t="str">
        <f>D3</f>
        <v>Prototype 1a 
(45 ft height)</v>
      </c>
      <c r="E68" s="338" t="str">
        <f>E3</f>
        <v>Prototype 1
(Max FAR)</v>
      </c>
      <c r="F68" s="338" t="s">
        <v>514</v>
      </c>
      <c r="G68" s="338" t="s">
        <v>512</v>
      </c>
      <c r="H68" s="339" t="s">
        <v>513</v>
      </c>
      <c r="I68" s="339" t="s">
        <v>495</v>
      </c>
      <c r="J68" s="401" t="str">
        <f>J3</f>
        <v>Prototype 6
(MU, Height 35 feet)</v>
      </c>
      <c r="K68" s="391" t="s">
        <v>454</v>
      </c>
      <c r="L68" s="401" t="str">
        <f>L3</f>
        <v>Prototype 7
(MU, Height 45 feet)</v>
      </c>
      <c r="M68" s="401" t="str">
        <f>M3</f>
        <v>Prototype 8
(MU, Height 55 feet)</v>
      </c>
      <c r="N68" s="392" t="s">
        <v>456</v>
      </c>
      <c r="O68" s="392" t="s">
        <v>458</v>
      </c>
      <c r="P68" s="401" t="str">
        <f>P3</f>
        <v>Prototype 9
(Res only, Height 45 feet)</v>
      </c>
      <c r="Q68" s="463" t="str">
        <f>Q3</f>
        <v>3x3BD, 30 feet</v>
      </c>
      <c r="R68" s="463" t="str">
        <f>R3</f>
        <v>4x2BD, 30 feet</v>
      </c>
    </row>
    <row r="69" spans="1:25" s="72" customFormat="1" ht="13.5" x14ac:dyDescent="0.25">
      <c r="A69" s="82"/>
      <c r="B69" s="72" t="s">
        <v>365</v>
      </c>
      <c r="D69" s="342">
        <f t="shared" ref="D69" si="55">ROUND(D30/D8,-3)</f>
        <v>50000</v>
      </c>
      <c r="E69" s="342">
        <f t="shared" ref="E69:O69" si="56">ROUND(E30/E8,-3)</f>
        <v>42000</v>
      </c>
      <c r="F69" s="342">
        <f t="shared" si="56"/>
        <v>40000</v>
      </c>
      <c r="G69" s="342">
        <f t="shared" si="56"/>
        <v>29000</v>
      </c>
      <c r="H69" s="342">
        <f t="shared" si="56"/>
        <v>34000</v>
      </c>
      <c r="I69" s="342">
        <f t="shared" si="56"/>
        <v>25000</v>
      </c>
      <c r="J69" s="342">
        <f t="shared" si="56"/>
        <v>66000</v>
      </c>
      <c r="K69" s="342">
        <f t="shared" si="56"/>
        <v>43000</v>
      </c>
      <c r="L69" s="342">
        <f>ROUND(L30/L8,-3)</f>
        <v>43000</v>
      </c>
      <c r="M69" s="342">
        <f t="shared" si="56"/>
        <v>31000</v>
      </c>
      <c r="N69" s="342">
        <f t="shared" si="56"/>
        <v>60000</v>
      </c>
      <c r="O69" s="342">
        <f t="shared" si="56"/>
        <v>30000</v>
      </c>
      <c r="P69" s="342">
        <f>ROUND(P30/P8,-3)</f>
        <v>40000</v>
      </c>
      <c r="Q69" s="342" t="e">
        <f t="shared" ref="Q69:R69" si="57">ROUND(Q30/Q8,-3)</f>
        <v>#REF!</v>
      </c>
      <c r="R69" s="342" t="e">
        <f t="shared" si="57"/>
        <v>#REF!</v>
      </c>
    </row>
    <row r="70" spans="1:25" s="72" customFormat="1" ht="13.5" x14ac:dyDescent="0.25">
      <c r="A70" s="82"/>
      <c r="B70" s="72" t="s">
        <v>0</v>
      </c>
      <c r="D70" s="342">
        <f t="shared" ref="D70" si="58">ROUND(D35/D8,-3)</f>
        <v>36000</v>
      </c>
      <c r="E70" s="342">
        <f t="shared" ref="E70:O70" si="59">ROUND(E35/E8,-3)</f>
        <v>30000</v>
      </c>
      <c r="F70" s="342">
        <f t="shared" si="59"/>
        <v>53000</v>
      </c>
      <c r="G70" s="342">
        <f t="shared" si="59"/>
        <v>38000</v>
      </c>
      <c r="H70" s="342">
        <f t="shared" si="59"/>
        <v>46000</v>
      </c>
      <c r="I70" s="342">
        <f t="shared" si="59"/>
        <v>34000</v>
      </c>
      <c r="J70" s="342">
        <f t="shared" si="59"/>
        <v>46000</v>
      </c>
      <c r="K70" s="342">
        <f t="shared" si="59"/>
        <v>29000</v>
      </c>
      <c r="L70" s="342">
        <f>ROUND(L35/L8,-3)</f>
        <v>29000</v>
      </c>
      <c r="M70" s="342">
        <f t="shared" si="59"/>
        <v>22000</v>
      </c>
      <c r="N70" s="342">
        <f t="shared" si="59"/>
        <v>41000</v>
      </c>
      <c r="O70" s="342">
        <f t="shared" si="59"/>
        <v>21000</v>
      </c>
      <c r="P70" s="342">
        <f>ROUND(P35/P8,-3)</f>
        <v>27000</v>
      </c>
      <c r="Q70" s="342">
        <f t="shared" ref="Q70:R70" si="60">ROUND(Q35/Q8,-3)</f>
        <v>80000</v>
      </c>
      <c r="R70" s="342">
        <f t="shared" si="60"/>
        <v>80000</v>
      </c>
    </row>
    <row r="71" spans="1:25" s="207" customFormat="1" ht="13.5" x14ac:dyDescent="0.25">
      <c r="A71" s="83"/>
      <c r="B71" s="83" t="s">
        <v>438</v>
      </c>
      <c r="C71" s="83"/>
      <c r="D71" s="342">
        <f t="shared" ref="D71" si="61">ROUND(D34/D8,-3)</f>
        <v>298000</v>
      </c>
      <c r="E71" s="342">
        <f t="shared" ref="E71:O71" si="62">ROUND(E34/E8,-3)</f>
        <v>288000</v>
      </c>
      <c r="F71" s="342">
        <f t="shared" si="62"/>
        <v>287000</v>
      </c>
      <c r="G71" s="342">
        <f t="shared" si="62"/>
        <v>272000</v>
      </c>
      <c r="H71" s="342">
        <f t="shared" si="62"/>
        <v>236000</v>
      </c>
      <c r="I71" s="342">
        <f t="shared" si="62"/>
        <v>237000</v>
      </c>
      <c r="J71" s="342">
        <f t="shared" si="62"/>
        <v>301000</v>
      </c>
      <c r="K71" s="342">
        <f t="shared" si="62"/>
        <v>272000</v>
      </c>
      <c r="L71" s="342">
        <f>ROUND(L34/L8,-3)</f>
        <v>272000</v>
      </c>
      <c r="M71" s="342">
        <f t="shared" si="62"/>
        <v>259000</v>
      </c>
      <c r="N71" s="342">
        <f t="shared" si="62"/>
        <v>270000</v>
      </c>
      <c r="O71" s="342">
        <f t="shared" si="62"/>
        <v>246000</v>
      </c>
      <c r="P71" s="342">
        <f>ROUND(P34/P8,-3)</f>
        <v>254000</v>
      </c>
      <c r="Q71" s="342">
        <f t="shared" ref="Q71:R71" si="63">ROUND(Q34/Q8,-3)</f>
        <v>496000</v>
      </c>
      <c r="R71" s="342">
        <f t="shared" si="63"/>
        <v>396000</v>
      </c>
    </row>
    <row r="72" spans="1:25" s="72" customFormat="1" ht="13.5" x14ac:dyDescent="0.25">
      <c r="A72" s="83"/>
      <c r="B72" s="82" t="s">
        <v>25</v>
      </c>
      <c r="C72" s="82"/>
      <c r="D72" s="158">
        <f t="shared" ref="D72" si="64">ROUND((D45+D47)/D8,-3)</f>
        <v>115000</v>
      </c>
      <c r="E72" s="158">
        <f t="shared" ref="E72:O72" si="65">ROUND((E45+E47)/E8,-3)</f>
        <v>111000</v>
      </c>
      <c r="F72" s="158">
        <f t="shared" si="65"/>
        <v>116000</v>
      </c>
      <c r="G72" s="158">
        <f t="shared" si="65"/>
        <v>108000</v>
      </c>
      <c r="H72" s="158">
        <f t="shared" si="65"/>
        <v>102000</v>
      </c>
      <c r="I72" s="158">
        <f t="shared" si="65"/>
        <v>99000</v>
      </c>
      <c r="J72" s="158">
        <f t="shared" si="65"/>
        <v>118000</v>
      </c>
      <c r="K72" s="158">
        <f t="shared" si="65"/>
        <v>102000</v>
      </c>
      <c r="L72" s="158">
        <f>ROUND((L45+L47)/L8,-3)</f>
        <v>107000</v>
      </c>
      <c r="M72" s="158">
        <f t="shared" si="65"/>
        <v>101000</v>
      </c>
      <c r="N72" s="158">
        <f t="shared" si="65"/>
        <v>105000</v>
      </c>
      <c r="O72" s="158">
        <f t="shared" si="65"/>
        <v>94000</v>
      </c>
      <c r="P72" s="158">
        <f>ROUND((P45+P47)/P8,-3)</f>
        <v>102000</v>
      </c>
      <c r="Q72" s="158" t="e">
        <f t="shared" ref="Q72:R72" si="66">ROUND((Q45+Q47)/Q8,-3)</f>
        <v>#REF!</v>
      </c>
      <c r="R72" s="158" t="e">
        <f t="shared" si="66"/>
        <v>#REF!</v>
      </c>
    </row>
    <row r="73" spans="1:25" s="207" customFormat="1" ht="13.5" x14ac:dyDescent="0.25">
      <c r="A73" s="83"/>
      <c r="B73" s="72" t="s">
        <v>431</v>
      </c>
      <c r="C73" s="72"/>
      <c r="D73" s="158">
        <f>ROUND(SUM(D69:D72),-3)</f>
        <v>499000</v>
      </c>
      <c r="E73" s="158">
        <f>ROUND(SUM(E69:E72),-3)</f>
        <v>471000</v>
      </c>
      <c r="F73" s="158">
        <f t="shared" ref="F73:I73" si="67">SUM(F69:F72)</f>
        <v>496000</v>
      </c>
      <c r="G73" s="158">
        <f t="shared" si="67"/>
        <v>447000</v>
      </c>
      <c r="H73" s="158">
        <f t="shared" si="67"/>
        <v>418000</v>
      </c>
      <c r="I73" s="158">
        <f t="shared" si="67"/>
        <v>395000</v>
      </c>
      <c r="J73" s="158">
        <f t="shared" ref="J73:K73" si="68">SUM(J69:J72)</f>
        <v>531000</v>
      </c>
      <c r="K73" s="158">
        <f t="shared" si="68"/>
        <v>446000</v>
      </c>
      <c r="L73" s="158">
        <f>SUM(L69:L72)</f>
        <v>451000</v>
      </c>
      <c r="M73" s="158">
        <f t="shared" ref="M73:N73" si="69">SUM(M69:M72)</f>
        <v>413000</v>
      </c>
      <c r="N73" s="158">
        <f t="shared" si="69"/>
        <v>476000</v>
      </c>
      <c r="O73" s="158">
        <f t="shared" ref="O73" si="70">SUM(O69:O72)</f>
        <v>391000</v>
      </c>
      <c r="P73" s="158">
        <f>SUM(P69:P72)</f>
        <v>423000</v>
      </c>
      <c r="Q73" s="158" t="e">
        <f t="shared" ref="Q73:R73" si="71">SUM(Q69:Q72)</f>
        <v>#REF!</v>
      </c>
      <c r="R73" s="158" t="e">
        <f t="shared" si="71"/>
        <v>#REF!</v>
      </c>
    </row>
    <row r="74" spans="1:25" s="207" customFormat="1" ht="13.5" x14ac:dyDescent="0.25">
      <c r="A74" s="83"/>
      <c r="B74" s="343"/>
      <c r="C74" s="343"/>
      <c r="D74" s="343"/>
      <c r="E74" s="344"/>
      <c r="F74" s="344"/>
      <c r="G74" s="344"/>
      <c r="H74" s="344"/>
      <c r="I74" s="344"/>
      <c r="J74" s="344"/>
    </row>
    <row r="75" spans="1:25" s="207" customFormat="1" ht="15.75" x14ac:dyDescent="0.4">
      <c r="A75" s="83"/>
      <c r="B75" s="345"/>
      <c r="C75" s="345"/>
      <c r="D75" s="345"/>
      <c r="E75" s="346"/>
      <c r="F75" s="346"/>
      <c r="G75" s="344"/>
      <c r="H75" s="344"/>
      <c r="I75" s="344"/>
      <c r="J75" s="344"/>
    </row>
    <row r="76" spans="1:25" s="207" customFormat="1" ht="13.5" x14ac:dyDescent="0.25">
      <c r="A76" s="109"/>
      <c r="B76" s="394" t="s">
        <v>488</v>
      </c>
      <c r="C76" s="394"/>
      <c r="D76" s="394"/>
      <c r="E76" s="395"/>
      <c r="F76" s="395"/>
      <c r="G76" s="396"/>
      <c r="H76" s="396"/>
      <c r="I76" s="396"/>
      <c r="J76" s="396"/>
      <c r="K76" s="210"/>
      <c r="L76" s="210"/>
      <c r="M76" s="210"/>
      <c r="N76" s="210"/>
      <c r="P76" s="210"/>
      <c r="Q76" s="210"/>
      <c r="R76" s="210"/>
    </row>
    <row r="77" spans="1:25" s="207" customFormat="1" ht="13.5" x14ac:dyDescent="0.25">
      <c r="A77" s="83"/>
      <c r="B77" s="347"/>
      <c r="C77" s="347"/>
      <c r="D77" s="347"/>
      <c r="E77" s="348"/>
      <c r="F77" s="348"/>
      <c r="G77" s="348"/>
      <c r="H77" s="348"/>
      <c r="I77" s="348"/>
      <c r="J77" s="348"/>
    </row>
    <row r="78" spans="1:25" s="207" customFormat="1" ht="13.5" x14ac:dyDescent="0.25">
      <c r="A78" s="83"/>
      <c r="E78" s="349"/>
      <c r="G78" s="349"/>
      <c r="H78" s="349"/>
      <c r="I78" s="349"/>
      <c r="J78" s="349"/>
    </row>
    <row r="79" spans="1:25" s="72" customFormat="1" ht="13.5" x14ac:dyDescent="0.25">
      <c r="A79" s="82"/>
      <c r="E79" s="206"/>
      <c r="F79" s="206"/>
      <c r="G79" s="206"/>
      <c r="H79" s="206"/>
      <c r="I79" s="206"/>
      <c r="J79" s="206"/>
      <c r="V79" s="207"/>
      <c r="W79" s="66"/>
      <c r="X79" s="207"/>
      <c r="Y79" s="207"/>
    </row>
    <row r="80" spans="1:25" s="72" customFormat="1" ht="13.5" x14ac:dyDescent="0.25">
      <c r="A80" s="82"/>
      <c r="E80" s="208"/>
      <c r="F80" s="208"/>
      <c r="G80" s="208"/>
      <c r="H80" s="208"/>
      <c r="I80" s="208"/>
      <c r="J80" s="208"/>
      <c r="V80" s="207"/>
      <c r="W80" s="409"/>
      <c r="X80" s="207"/>
      <c r="Y80" s="207"/>
    </row>
    <row r="81" spans="9:25" ht="15.75" x14ac:dyDescent="0.25">
      <c r="I81" s="350"/>
      <c r="V81" s="66"/>
      <c r="W81" s="66"/>
      <c r="X81" s="66"/>
      <c r="Y81" s="66"/>
    </row>
    <row r="82" spans="9:25" x14ac:dyDescent="0.25">
      <c r="V82" s="66"/>
      <c r="W82" s="66"/>
      <c r="X82" s="66"/>
      <c r="Y82" s="66"/>
    </row>
    <row r="83" spans="9:25" x14ac:dyDescent="0.25">
      <c r="V83" s="66"/>
      <c r="W83" s="66"/>
      <c r="X83" s="66"/>
      <c r="Y83" s="66"/>
    </row>
    <row r="84" spans="9:25" x14ac:dyDescent="0.25">
      <c r="V84" s="66"/>
      <c r="W84" s="66"/>
      <c r="X84" s="66"/>
      <c r="Y84" s="66"/>
    </row>
    <row r="85" spans="9:25" x14ac:dyDescent="0.25">
      <c r="V85" s="66"/>
      <c r="W85" s="66"/>
      <c r="X85" s="66"/>
      <c r="Y85" s="66"/>
    </row>
    <row r="86" spans="9:25" x14ac:dyDescent="0.25">
      <c r="V86" s="66"/>
      <c r="W86" s="66"/>
      <c r="X86" s="66"/>
      <c r="Y86" s="66"/>
    </row>
    <row r="87" spans="9:25" x14ac:dyDescent="0.25">
      <c r="V87" s="66"/>
      <c r="W87" s="66"/>
      <c r="X87" s="66"/>
      <c r="Y87" s="66"/>
    </row>
    <row r="110" spans="20:22" x14ac:dyDescent="0.25">
      <c r="T110" s="66"/>
      <c r="U110" s="66"/>
      <c r="V110" s="66"/>
    </row>
    <row r="111" spans="20:22" x14ac:dyDescent="0.25">
      <c r="T111" s="66"/>
      <c r="U111" s="66"/>
      <c r="V111" s="66"/>
    </row>
    <row r="112" spans="20:22" x14ac:dyDescent="0.25">
      <c r="T112" s="66"/>
      <c r="U112" s="66"/>
      <c r="V112" s="66"/>
    </row>
    <row r="113" spans="20:22" x14ac:dyDescent="0.25">
      <c r="T113" s="66"/>
      <c r="U113" s="66"/>
      <c r="V113" s="66"/>
    </row>
    <row r="114" spans="20:22" x14ac:dyDescent="0.25">
      <c r="T114" s="66"/>
      <c r="U114" s="66"/>
      <c r="V114" s="66"/>
    </row>
    <row r="115" spans="20:22" x14ac:dyDescent="0.25">
      <c r="T115" s="66"/>
      <c r="U115" s="408"/>
      <c r="V115" s="66"/>
    </row>
    <row r="116" spans="20:22" x14ac:dyDescent="0.25">
      <c r="T116" s="66"/>
      <c r="U116" s="66"/>
      <c r="V116" s="66"/>
    </row>
    <row r="117" spans="20:22" x14ac:dyDescent="0.25">
      <c r="T117" s="66"/>
      <c r="U117" s="66"/>
      <c r="V117" s="66"/>
    </row>
    <row r="118" spans="20:22" x14ac:dyDescent="0.25">
      <c r="T118" s="66"/>
      <c r="U118" s="66"/>
      <c r="V118" s="66"/>
    </row>
    <row r="119" spans="20:22" x14ac:dyDescent="0.25">
      <c r="T119" s="66"/>
      <c r="U119" s="66"/>
      <c r="V119" s="66"/>
    </row>
    <row r="120" spans="20:22" x14ac:dyDescent="0.25">
      <c r="T120" s="66"/>
      <c r="U120" s="66"/>
      <c r="V120" s="66"/>
    </row>
    <row r="121" spans="20:22" x14ac:dyDescent="0.25">
      <c r="T121" s="66"/>
      <c r="U121" s="66"/>
      <c r="V121" s="66"/>
    </row>
    <row r="122" spans="20:22" x14ac:dyDescent="0.25">
      <c r="T122" s="66"/>
      <c r="U122" s="66"/>
      <c r="V122" s="66"/>
    </row>
    <row r="123" spans="20:22" x14ac:dyDescent="0.25">
      <c r="T123" s="66"/>
      <c r="U123" s="66"/>
      <c r="V123" s="66"/>
    </row>
    <row r="149" spans="1:23" ht="13.5" x14ac:dyDescent="0.25">
      <c r="A149" s="109"/>
      <c r="B149" s="394" t="s">
        <v>489</v>
      </c>
      <c r="C149" s="394"/>
      <c r="D149" s="394"/>
      <c r="E149" s="395"/>
      <c r="F149" s="395"/>
      <c r="G149" s="396"/>
      <c r="H149" s="396"/>
      <c r="I149" s="396"/>
      <c r="J149" s="396"/>
      <c r="K149" s="210"/>
      <c r="M149" s="210"/>
      <c r="N149" s="210"/>
      <c r="P149" s="210"/>
      <c r="T149" s="66"/>
      <c r="U149" s="66"/>
      <c r="V149" s="66"/>
      <c r="W149" s="66"/>
    </row>
    <row r="150" spans="1:23" x14ac:dyDescent="0.25">
      <c r="T150" s="66"/>
      <c r="U150" s="66"/>
      <c r="V150" s="66"/>
      <c r="W150" s="66"/>
    </row>
    <row r="151" spans="1:23" x14ac:dyDescent="0.25">
      <c r="T151" s="66"/>
      <c r="U151" s="66"/>
      <c r="V151" s="66"/>
      <c r="W151" s="66"/>
    </row>
    <row r="152" spans="1:23" x14ac:dyDescent="0.25">
      <c r="T152" s="66"/>
      <c r="U152" s="66"/>
      <c r="V152" s="66"/>
      <c r="W152" s="66"/>
    </row>
    <row r="153" spans="1:23" x14ac:dyDescent="0.25">
      <c r="T153" s="66"/>
      <c r="U153" s="408"/>
      <c r="V153" s="66"/>
      <c r="W153" s="66"/>
    </row>
    <row r="154" spans="1:23" x14ac:dyDescent="0.25">
      <c r="T154" s="66"/>
      <c r="U154" s="66"/>
      <c r="V154" s="66"/>
      <c r="W154" s="66"/>
    </row>
    <row r="155" spans="1:23" x14ac:dyDescent="0.25">
      <c r="T155" s="66"/>
      <c r="U155" s="66"/>
      <c r="V155" s="66"/>
      <c r="W155" s="66"/>
    </row>
    <row r="156" spans="1:23" x14ac:dyDescent="0.25">
      <c r="T156" s="66"/>
      <c r="U156" s="66"/>
      <c r="V156" s="66"/>
      <c r="W156" s="66"/>
    </row>
    <row r="157" spans="1:23" x14ac:dyDescent="0.25">
      <c r="T157" s="66"/>
      <c r="U157" s="66"/>
      <c r="V157" s="66"/>
      <c r="W157" s="66"/>
    </row>
    <row r="158" spans="1:23" x14ac:dyDescent="0.25">
      <c r="T158" s="66"/>
      <c r="U158" s="66"/>
      <c r="V158" s="66"/>
      <c r="W158" s="66"/>
    </row>
    <row r="159" spans="1:23" x14ac:dyDescent="0.25">
      <c r="T159" s="66"/>
      <c r="U159" s="66"/>
      <c r="V159" s="66"/>
      <c r="W159" s="66"/>
    </row>
    <row r="160" spans="1:23" x14ac:dyDescent="0.25">
      <c r="T160" s="66"/>
      <c r="U160" s="66"/>
      <c r="V160" s="66"/>
      <c r="W160" s="66"/>
    </row>
    <row r="161" spans="20:23" x14ac:dyDescent="0.25">
      <c r="T161" s="66"/>
      <c r="U161" s="66"/>
      <c r="V161" s="66"/>
      <c r="W161" s="66"/>
    </row>
  </sheetData>
  <sheetProtection algorithmName="SHA-512" hashValue="mBad/qEzU+LKfh1Esv0QEBPHJ9p2cqP4aICtekLxyzhxXNywLSc/ThSqWzZ6QsPEh/UyxMBF9KG6bK3iIrrCsw==" saltValue="Rp9lM5DT9DvZpWXb2VcqGA==" spinCount="100000" sheet="1" objects="1" scenarios="1"/>
  <mergeCells count="4">
    <mergeCell ref="H2:I2"/>
    <mergeCell ref="D2:G2"/>
    <mergeCell ref="J2:P2"/>
    <mergeCell ref="Q2:R2"/>
  </mergeCells>
  <conditionalFormatting sqref="O61:O62 E61:N61 P61:R61">
    <cfRule type="cellIs" dxfId="2" priority="3" operator="greaterThanOrEqual">
      <formula>0.055</formula>
    </cfRule>
  </conditionalFormatting>
  <conditionalFormatting sqref="D61">
    <cfRule type="cellIs" dxfId="1" priority="2" operator="greaterThanOrEqual">
      <formula>0.055</formula>
    </cfRule>
  </conditionalFormatting>
  <pageMargins left="0.7" right="0.7" top="0.75" bottom="0.75" header="0.3" footer="0.3"/>
  <pageSetup scale="8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5050"/>
    <pageSetUpPr fitToPage="1"/>
  </sheetPr>
  <dimension ref="A1:X162"/>
  <sheetViews>
    <sheetView workbookViewId="0">
      <selection activeCell="B44" sqref="B44"/>
    </sheetView>
  </sheetViews>
  <sheetFormatPr defaultColWidth="9" defaultRowHeight="12.75" x14ac:dyDescent="0.25"/>
  <cols>
    <col min="1" max="1" width="1.85546875" style="59" customWidth="1"/>
    <col min="2" max="2" width="35.85546875" style="57" bestFit="1" customWidth="1"/>
    <col min="3" max="3" width="8.140625" style="57" customWidth="1"/>
    <col min="4" max="8" width="14.42578125" style="57" customWidth="1"/>
    <col min="9" max="9" width="15.42578125" style="57" customWidth="1"/>
    <col min="10" max="10" width="15.42578125" style="57" hidden="1" customWidth="1"/>
    <col min="11" max="11" width="0.140625" style="57" customWidth="1"/>
    <col min="12" max="12" width="25.140625" style="57" customWidth="1"/>
    <col min="13" max="13" width="15.42578125" style="57" hidden="1" customWidth="1"/>
    <col min="14" max="14" width="15.42578125" style="57" customWidth="1"/>
    <col min="15" max="16384" width="9" style="57"/>
  </cols>
  <sheetData>
    <row r="1" spans="1:14" s="59" customFormat="1" ht="15.75" x14ac:dyDescent="0.3">
      <c r="A1" s="71" t="s">
        <v>41</v>
      </c>
      <c r="D1" s="56"/>
      <c r="E1" s="56"/>
      <c r="F1" s="56"/>
      <c r="G1" s="56"/>
      <c r="H1" s="56"/>
      <c r="I1" s="56"/>
    </row>
    <row r="2" spans="1:14" s="82" customFormat="1" ht="13.5" x14ac:dyDescent="0.25">
      <c r="A2" s="78"/>
      <c r="D2" s="745" t="s">
        <v>302</v>
      </c>
      <c r="E2" s="745"/>
      <c r="F2" s="745"/>
      <c r="G2" s="746" t="s">
        <v>303</v>
      </c>
      <c r="H2" s="746"/>
      <c r="I2" s="413" t="s">
        <v>466</v>
      </c>
      <c r="J2" s="413"/>
      <c r="K2" s="414" t="s">
        <v>459</v>
      </c>
      <c r="L2" s="414"/>
      <c r="M2" s="414"/>
      <c r="N2" s="413"/>
    </row>
    <row r="3" spans="1:14" s="72" customFormat="1" ht="38.25" x14ac:dyDescent="0.25">
      <c r="A3" s="109"/>
      <c r="B3" s="78" t="s">
        <v>124</v>
      </c>
      <c r="C3" s="78"/>
      <c r="D3" s="338" t="s">
        <v>491</v>
      </c>
      <c r="E3" s="338" t="s">
        <v>492</v>
      </c>
      <c r="F3" s="338" t="s">
        <v>493</v>
      </c>
      <c r="G3" s="339" t="s">
        <v>494</v>
      </c>
      <c r="H3" s="339" t="s">
        <v>495</v>
      </c>
      <c r="I3" s="401" t="s">
        <v>496</v>
      </c>
      <c r="J3" s="391" t="s">
        <v>454</v>
      </c>
      <c r="K3" s="392" t="s">
        <v>456</v>
      </c>
      <c r="L3" s="402" t="s">
        <v>498</v>
      </c>
      <c r="M3" s="392" t="s">
        <v>458</v>
      </c>
      <c r="N3" s="401" t="s">
        <v>497</v>
      </c>
    </row>
    <row r="4" spans="1:14" s="72" customFormat="1" ht="13.5" x14ac:dyDescent="0.25">
      <c r="A4" s="82"/>
      <c r="B4" s="174" t="str">
        <f>'Test Fits for Pro Forma'!B6</f>
        <v>Parcel Size (acres)</v>
      </c>
      <c r="C4" s="168"/>
      <c r="D4" s="305">
        <f>'Test Fits for Pro Forma'!D6</f>
        <v>1.29</v>
      </c>
      <c r="E4" s="305">
        <f>'Test Fits for Pro Forma'!E6</f>
        <v>1.29</v>
      </c>
      <c r="F4" s="406">
        <f>'Test Fits for Pro Forma'!F6</f>
        <v>1.29</v>
      </c>
      <c r="G4" s="305">
        <f>'Test Fits for Pro Forma'!G6</f>
        <v>1.29</v>
      </c>
      <c r="H4" s="305">
        <f>'Test Fits for Pro Forma'!H6</f>
        <v>1.29</v>
      </c>
      <c r="I4" s="305">
        <f>'Test Fits for Pro Forma'!I6</f>
        <v>0.16090449954086317</v>
      </c>
      <c r="J4" s="305">
        <f>'Test Fits for Pro Forma'!J6</f>
        <v>0.16090449954086317</v>
      </c>
      <c r="K4" s="406">
        <f>'Test Fits for Pro Forma'!L6</f>
        <v>0.16090449954086317</v>
      </c>
      <c r="L4" s="305">
        <f>'Test Fits for Pro Forma'!M6</f>
        <v>0.16090449954086317</v>
      </c>
      <c r="M4" s="305">
        <f>'Test Fits for Pro Forma'!N6</f>
        <v>0.16090449954086317</v>
      </c>
      <c r="N4" s="305">
        <f>'Test Fits for Pro Forma'!K6</f>
        <v>0.16090449954086317</v>
      </c>
    </row>
    <row r="5" spans="1:14" s="72" customFormat="1" ht="13.5" x14ac:dyDescent="0.25">
      <c r="A5" s="82"/>
      <c r="B5" s="174" t="str">
        <f>'Test Fits for Pro Forma'!B7</f>
        <v xml:space="preserve">Parcel Size (sf) </v>
      </c>
      <c r="C5" s="168"/>
      <c r="D5" s="175">
        <f>'Test Fits for Pro Forma'!D7</f>
        <v>56192.4</v>
      </c>
      <c r="E5" s="175">
        <f>'Test Fits for Pro Forma'!E7</f>
        <v>56192.4</v>
      </c>
      <c r="F5" s="407">
        <f>'Test Fits for Pro Forma'!F7</f>
        <v>56192.4</v>
      </c>
      <c r="G5" s="175">
        <f>'Test Fits for Pro Forma'!G7</f>
        <v>56192.4</v>
      </c>
      <c r="H5" s="175">
        <f>'Test Fits for Pro Forma'!H7</f>
        <v>56192.4</v>
      </c>
      <c r="I5" s="175">
        <f>'Test Fits for Pro Forma'!I7</f>
        <v>7008.9999999999991</v>
      </c>
      <c r="J5" s="175">
        <f>'Test Fits for Pro Forma'!J7</f>
        <v>7008.9999999999991</v>
      </c>
      <c r="K5" s="407">
        <f>'Test Fits for Pro Forma'!L7</f>
        <v>7008.9999999999991</v>
      </c>
      <c r="L5" s="175">
        <f>'Test Fits for Pro Forma'!M7</f>
        <v>7008.9999999999991</v>
      </c>
      <c r="M5" s="175">
        <f>'Test Fits for Pro Forma'!N7</f>
        <v>7008.9999999999991</v>
      </c>
      <c r="N5" s="175">
        <f>'Test Fits for Pro Forma'!K7</f>
        <v>7008.9999999999991</v>
      </c>
    </row>
    <row r="6" spans="1:14" s="72" customFormat="1" ht="13.5" x14ac:dyDescent="0.25">
      <c r="A6" s="82"/>
      <c r="B6" s="176" t="s">
        <v>299</v>
      </c>
      <c r="C6" s="82"/>
      <c r="D6" s="177">
        <f>'Test Fits for Pro Forma'!D15+'Test Fits for Pro Forma'!D22</f>
        <v>119374</v>
      </c>
      <c r="E6" s="177">
        <f>'Test Fits for Pro Forma'!E15+'Test Fits for Pro Forma'!E22</f>
        <v>124078</v>
      </c>
      <c r="F6" s="86">
        <f>'Test Fits for Pro Forma'!F15+'Test Fits for Pro Forma'!F22</f>
        <v>165030</v>
      </c>
      <c r="G6" s="177">
        <f>'Test Fits for Pro Forma'!G15+'Test Fits for Pro Forma'!G22</f>
        <v>121068</v>
      </c>
      <c r="H6" s="177">
        <f>'Test Fits for Pro Forma'!H15+'Test Fits for Pro Forma'!H22</f>
        <v>162020</v>
      </c>
      <c r="I6" s="177">
        <f>'Test Fits for Pro Forma'!I15+'Test Fits for Pro Forma'!I22</f>
        <v>9836</v>
      </c>
      <c r="J6" s="177">
        <f>'Test Fits for Pro Forma'!J15+'Test Fits for Pro Forma'!J22</f>
        <v>13857</v>
      </c>
      <c r="K6" s="86">
        <f>'Test Fits for Pro Forma'!L15+'Test Fits for Pro Forma'!L22</f>
        <v>9836</v>
      </c>
      <c r="L6" s="177">
        <f>'Test Fits for Pro Forma'!M15+'Test Fits for Pro Forma'!M22</f>
        <v>13857</v>
      </c>
      <c r="M6" s="177">
        <f>'Test Fits for Pro Forma'!N15+'Test Fits for Pro Forma'!N22</f>
        <v>17878</v>
      </c>
      <c r="N6" s="177">
        <f>'Test Fits for Pro Forma'!K15+'Test Fits for Pro Forma'!K22</f>
        <v>17878</v>
      </c>
    </row>
    <row r="7" spans="1:14" s="72" customFormat="1" ht="13.5" x14ac:dyDescent="0.25">
      <c r="A7" s="82"/>
      <c r="B7" s="178" t="s">
        <v>1</v>
      </c>
      <c r="C7" s="83"/>
      <c r="D7" s="340">
        <f>'Test Fits for Pro Forma'!D12</f>
        <v>2.7482347148316135</v>
      </c>
      <c r="E7" s="340">
        <f>'Test Fits for Pro Forma'!E12</f>
        <v>3.4783157833648799</v>
      </c>
      <c r="F7" s="84">
        <f>'Test Fits for Pro Forma'!F12</f>
        <v>4.2095753812363848</v>
      </c>
      <c r="G7" s="340">
        <f>'Test Fits for Pro Forma'!G12</f>
        <v>3.4540194993035964</v>
      </c>
      <c r="H7" s="340">
        <f>'Test Fits for Pro Forma'!H12</f>
        <v>4.1852790971751013</v>
      </c>
      <c r="I7" s="340">
        <f>'Test Fits for Pro Forma'!I12</f>
        <v>1.9900128406334712</v>
      </c>
      <c r="J7" s="340">
        <f>'Test Fits for Pro Forma'!J12</f>
        <v>2.5637038093879299</v>
      </c>
      <c r="K7" s="84">
        <f>'Test Fits for Pro Forma'!L12</f>
        <v>1.9900128406334712</v>
      </c>
      <c r="L7" s="340">
        <f>'Test Fits for Pro Forma'!M12</f>
        <v>2.5637038093879299</v>
      </c>
      <c r="M7" s="340">
        <f>'Test Fits for Pro Forma'!N12</f>
        <v>3.1373947781423883</v>
      </c>
      <c r="N7" s="340">
        <f>'Test Fits for Pro Forma'!K12</f>
        <v>3.1373947781423883</v>
      </c>
    </row>
    <row r="8" spans="1:14" s="72" customFormat="1" ht="13.5" x14ac:dyDescent="0.25">
      <c r="A8" s="82"/>
      <c r="B8" s="179" t="s">
        <v>95</v>
      </c>
      <c r="C8" s="102"/>
      <c r="D8" s="180">
        <f>'Test Fits for Pro Forma'!D16</f>
        <v>114</v>
      </c>
      <c r="E8" s="180">
        <f>'Test Fits for Pro Forma'!E16</f>
        <v>119</v>
      </c>
      <c r="F8" s="181">
        <f>'Test Fits for Pro Forma'!F16</f>
        <v>167</v>
      </c>
      <c r="G8" s="180">
        <f>'Test Fits for Pro Forma'!G16</f>
        <v>141</v>
      </c>
      <c r="H8" s="180">
        <f>'Test Fits for Pro Forma'!H16</f>
        <v>188</v>
      </c>
      <c r="I8" s="180">
        <f>'Test Fits for Pro Forma'!I16</f>
        <v>9</v>
      </c>
      <c r="J8" s="180">
        <f>'Test Fits for Pro Forma'!J16</f>
        <v>14</v>
      </c>
      <c r="K8" s="181">
        <f>'Test Fits for Pro Forma'!L16</f>
        <v>10</v>
      </c>
      <c r="L8" s="180">
        <f>'Test Fits for Pro Forma'!M16</f>
        <v>15</v>
      </c>
      <c r="M8" s="180">
        <f>'Test Fits for Pro Forma'!N16</f>
        <v>20</v>
      </c>
      <c r="N8" s="180">
        <f>'Test Fits for Pro Forma'!K16</f>
        <v>19</v>
      </c>
    </row>
    <row r="9" spans="1:14" s="72" customFormat="1" ht="13.5" x14ac:dyDescent="0.25">
      <c r="A9" s="82"/>
      <c r="B9" s="82" t="s">
        <v>294</v>
      </c>
      <c r="C9" s="400">
        <v>0.8</v>
      </c>
      <c r="D9" s="86">
        <f t="shared" ref="D9:N9" si="0">$C$9*D8</f>
        <v>91.2</v>
      </c>
      <c r="E9" s="86">
        <f t="shared" si="0"/>
        <v>95.2</v>
      </c>
      <c r="F9" s="86">
        <f t="shared" si="0"/>
        <v>133.6</v>
      </c>
      <c r="G9" s="86">
        <f t="shared" si="0"/>
        <v>112.80000000000001</v>
      </c>
      <c r="H9" s="86">
        <f t="shared" si="0"/>
        <v>150.4</v>
      </c>
      <c r="I9" s="86">
        <f t="shared" si="0"/>
        <v>7.2</v>
      </c>
      <c r="J9" s="86">
        <f t="shared" si="0"/>
        <v>11.200000000000001</v>
      </c>
      <c r="K9" s="86">
        <f>$C$9*K8</f>
        <v>8</v>
      </c>
      <c r="L9" s="86">
        <f>$C$9*L8</f>
        <v>12</v>
      </c>
      <c r="M9" s="86">
        <f>$C$9*M8</f>
        <v>16</v>
      </c>
      <c r="N9" s="86">
        <f t="shared" si="0"/>
        <v>15.200000000000001</v>
      </c>
    </row>
    <row r="10" spans="1:14" s="72" customFormat="1" ht="13.5" x14ac:dyDescent="0.25">
      <c r="A10" s="82"/>
      <c r="B10" s="82" t="s">
        <v>439</v>
      </c>
      <c r="C10" s="307">
        <f>1-C9</f>
        <v>0.19999999999999996</v>
      </c>
      <c r="D10" s="86">
        <f>D8-D9</f>
        <v>22.799999999999997</v>
      </c>
      <c r="E10" s="86">
        <f t="shared" ref="E10:N10" si="1">E8-E9</f>
        <v>23.799999999999997</v>
      </c>
      <c r="F10" s="86">
        <f t="shared" si="1"/>
        <v>33.400000000000006</v>
      </c>
      <c r="G10" s="86">
        <f t="shared" si="1"/>
        <v>28.199999999999989</v>
      </c>
      <c r="H10" s="86">
        <f t="shared" si="1"/>
        <v>37.599999999999994</v>
      </c>
      <c r="I10" s="86">
        <f t="shared" si="1"/>
        <v>1.7999999999999998</v>
      </c>
      <c r="J10" s="86">
        <f t="shared" si="1"/>
        <v>2.7999999999999989</v>
      </c>
      <c r="K10" s="86">
        <f>K8-K9</f>
        <v>2</v>
      </c>
      <c r="L10" s="86">
        <f t="shared" ref="L10:M10" si="2">L8-L9</f>
        <v>3</v>
      </c>
      <c r="M10" s="86">
        <f t="shared" si="2"/>
        <v>4</v>
      </c>
      <c r="N10" s="86">
        <f t="shared" si="1"/>
        <v>3.7999999999999989</v>
      </c>
    </row>
    <row r="11" spans="1:14" s="72" customFormat="1" ht="13.5" x14ac:dyDescent="0.25">
      <c r="A11" s="82"/>
      <c r="B11" s="82" t="s">
        <v>300</v>
      </c>
      <c r="C11" s="82"/>
      <c r="D11" s="86">
        <f>'Test Fits for Pro Forma'!D28</f>
        <v>86.331601250000006</v>
      </c>
      <c r="E11" s="86">
        <f>'Test Fits for Pro Forma'!E28</f>
        <v>157.14364555555557</v>
      </c>
      <c r="F11" s="86">
        <f>'Test Fits for Pro Forma'!F28</f>
        <v>157.14364555555557</v>
      </c>
      <c r="G11" s="86">
        <f>'Test Fits for Pro Forma'!G28</f>
        <v>161</v>
      </c>
      <c r="H11" s="86">
        <f>'Test Fits for Pro Forma'!H28</f>
        <v>160.8088888888889</v>
      </c>
      <c r="I11" s="86">
        <f>'Test Fits for Pro Forma'!I28</f>
        <v>10.28</v>
      </c>
      <c r="J11" s="86">
        <f>'Test Fits for Pro Forma'!J28</f>
        <v>10.28</v>
      </c>
      <c r="K11" s="86">
        <f>'Test Fits for Pro Forma'!L28</f>
        <v>10.28</v>
      </c>
      <c r="L11" s="86">
        <f>'Test Fits for Pro Forma'!M28</f>
        <v>10.28</v>
      </c>
      <c r="M11" s="86">
        <f>'Test Fits for Pro Forma'!N28</f>
        <v>10.28</v>
      </c>
      <c r="N11" s="86">
        <f>'Test Fits for Pro Forma'!K28</f>
        <v>10.28</v>
      </c>
    </row>
    <row r="12" spans="1:14" s="72" customFormat="1" ht="13.5" x14ac:dyDescent="0.25">
      <c r="A12" s="102"/>
      <c r="B12" s="102"/>
      <c r="C12" s="102"/>
      <c r="D12" s="181"/>
      <c r="E12" s="181"/>
      <c r="F12" s="181"/>
      <c r="G12" s="181"/>
      <c r="H12" s="181"/>
      <c r="I12" s="181"/>
      <c r="J12" s="181"/>
      <c r="K12" s="181"/>
      <c r="L12" s="181"/>
      <c r="M12" s="181"/>
      <c r="N12" s="181"/>
    </row>
    <row r="13" spans="1:14" s="72" customFormat="1" ht="38.25" x14ac:dyDescent="0.25">
      <c r="A13" s="168"/>
      <c r="B13" s="168"/>
      <c r="C13" s="82"/>
      <c r="D13" s="338" t="s">
        <v>491</v>
      </c>
      <c r="E13" s="338" t="s">
        <v>492</v>
      </c>
      <c r="F13" s="338" t="s">
        <v>493</v>
      </c>
      <c r="G13" s="339" t="s">
        <v>494</v>
      </c>
      <c r="H13" s="339" t="s">
        <v>495</v>
      </c>
      <c r="I13" s="401" t="s">
        <v>496</v>
      </c>
      <c r="J13" s="391" t="s">
        <v>454</v>
      </c>
      <c r="K13" s="392" t="s">
        <v>456</v>
      </c>
      <c r="L13" s="402" t="s">
        <v>498</v>
      </c>
      <c r="M13" s="392" t="s">
        <v>458</v>
      </c>
      <c r="N13" s="401" t="s">
        <v>497</v>
      </c>
    </row>
    <row r="14" spans="1:14" s="72" customFormat="1" ht="13.5" x14ac:dyDescent="0.25">
      <c r="A14" s="109"/>
      <c r="B14" s="209" t="s">
        <v>7</v>
      </c>
      <c r="C14" s="209"/>
      <c r="D14" s="210"/>
      <c r="E14" s="210"/>
      <c r="F14" s="210"/>
      <c r="G14" s="210"/>
      <c r="H14" s="210"/>
      <c r="I14" s="210"/>
      <c r="J14" s="210"/>
      <c r="K14" s="210"/>
      <c r="L14" s="210"/>
      <c r="M14" s="210"/>
      <c r="N14" s="210"/>
    </row>
    <row r="15" spans="1:14" s="207" customFormat="1" ht="13.5" x14ac:dyDescent="0.25">
      <c r="A15" s="83"/>
      <c r="B15" s="119" t="s">
        <v>103</v>
      </c>
      <c r="C15" s="119"/>
    </row>
    <row r="16" spans="1:14" s="207" customFormat="1" ht="13.5" x14ac:dyDescent="0.25">
      <c r="A16" s="83"/>
      <c r="B16" s="119"/>
      <c r="C16" s="119"/>
    </row>
    <row r="17" spans="1:14" s="72" customFormat="1" ht="13.5" x14ac:dyDescent="0.25">
      <c r="A17" s="83"/>
      <c r="B17" s="78" t="s">
        <v>98</v>
      </c>
      <c r="C17" s="78"/>
      <c r="D17" s="172"/>
      <c r="E17" s="172"/>
      <c r="F17" s="172"/>
      <c r="G17" s="172"/>
      <c r="H17" s="172"/>
      <c r="I17" s="172"/>
      <c r="J17" s="172"/>
      <c r="K17" s="172"/>
      <c r="L17" s="172"/>
      <c r="M17" s="172"/>
      <c r="N17" s="172"/>
    </row>
    <row r="18" spans="1:14" s="72" customFormat="1" ht="13.5" x14ac:dyDescent="0.25">
      <c r="A18" s="82"/>
      <c r="B18" s="97" t="s">
        <v>290</v>
      </c>
      <c r="C18" s="97"/>
      <c r="D18" s="182">
        <f>'7. Revenue Assumptions'!$D$16*D9</f>
        <v>1619712</v>
      </c>
      <c r="E18" s="182">
        <f>'7. Revenue Assumptions'!$D$16*E9</f>
        <v>1690752</v>
      </c>
      <c r="F18" s="182">
        <f>'7. Revenue Assumptions'!$D$16*F9</f>
        <v>2372736</v>
      </c>
      <c r="G18" s="182">
        <f>'7. Revenue Assumptions'!$D$16*G9</f>
        <v>2003328.0000000002</v>
      </c>
      <c r="H18" s="182">
        <f>'7. Revenue Assumptions'!$D$16*H9</f>
        <v>2671104</v>
      </c>
      <c r="I18" s="182">
        <f>'7. Revenue Assumptions'!$D$16*I9</f>
        <v>127872</v>
      </c>
      <c r="J18" s="182">
        <f>'7. Revenue Assumptions'!$D$16*J9</f>
        <v>198912.00000000003</v>
      </c>
      <c r="K18" s="182">
        <f>'7. Revenue Assumptions'!$D$16*K9</f>
        <v>142080</v>
      </c>
      <c r="L18" s="182">
        <f>'7. Revenue Assumptions'!$D$16*L9</f>
        <v>213120</v>
      </c>
      <c r="M18" s="182">
        <f>'7. Revenue Assumptions'!$D$16*M9</f>
        <v>284160</v>
      </c>
      <c r="N18" s="182">
        <f>'7. Revenue Assumptions'!$D$16*N9</f>
        <v>269952</v>
      </c>
    </row>
    <row r="19" spans="1:14" s="72" customFormat="1" ht="13.5" x14ac:dyDescent="0.25">
      <c r="A19" s="82"/>
      <c r="B19" s="97" t="s">
        <v>291</v>
      </c>
      <c r="C19" s="97"/>
      <c r="D19" s="182">
        <f>'7. Revenue Assumptions'!$D$37*D10</f>
        <v>415570.01399999997</v>
      </c>
      <c r="E19" s="182">
        <f>'7. Revenue Assumptions'!$D$37*E10</f>
        <v>433796.76899999997</v>
      </c>
      <c r="F19" s="182">
        <f>'7. Revenue Assumptions'!$D$37*F10</f>
        <v>608773.61700000009</v>
      </c>
      <c r="G19" s="182">
        <f>'7. Revenue Assumptions'!$D$37*G10</f>
        <v>513994.49099999981</v>
      </c>
      <c r="H19" s="182">
        <f>'7. Revenue Assumptions'!$D$37*H10</f>
        <v>685325.9879999999</v>
      </c>
      <c r="I19" s="182">
        <f>'7. Revenue Assumptions'!$D$37*I10</f>
        <v>32808.159</v>
      </c>
      <c r="J19" s="182">
        <f>'7. Revenue Assumptions'!$D$37*J10</f>
        <v>51034.913999999982</v>
      </c>
      <c r="K19" s="182">
        <f>'7. Revenue Assumptions'!$D$37*K10</f>
        <v>36453.51</v>
      </c>
      <c r="L19" s="182">
        <f>'7. Revenue Assumptions'!$D$37*L10</f>
        <v>54680.264999999999</v>
      </c>
      <c r="M19" s="182">
        <f>'7. Revenue Assumptions'!$D$37*M10</f>
        <v>72907.02</v>
      </c>
      <c r="N19" s="182">
        <f>'7. Revenue Assumptions'!$D$37*N10</f>
        <v>69261.66899999998</v>
      </c>
    </row>
    <row r="20" spans="1:14" s="72" customFormat="1" ht="13.5" x14ac:dyDescent="0.25">
      <c r="A20" s="82"/>
      <c r="B20" s="97" t="s">
        <v>8</v>
      </c>
      <c r="C20" s="97"/>
      <c r="D20" s="182">
        <f>SUM(D18:D19)</f>
        <v>2035282.014</v>
      </c>
      <c r="E20" s="182">
        <f t="shared" ref="E20:N20" si="3">SUM(E18:E19)</f>
        <v>2124548.7689999999</v>
      </c>
      <c r="F20" s="182">
        <f t="shared" si="3"/>
        <v>2981509.6170000001</v>
      </c>
      <c r="G20" s="182">
        <f t="shared" si="3"/>
        <v>2517322.4909999999</v>
      </c>
      <c r="H20" s="182">
        <f t="shared" si="3"/>
        <v>3356429.9879999999</v>
      </c>
      <c r="I20" s="182">
        <f t="shared" si="3"/>
        <v>160680.15899999999</v>
      </c>
      <c r="J20" s="182">
        <f t="shared" si="3"/>
        <v>249946.91400000002</v>
      </c>
      <c r="K20" s="182">
        <f>SUM(K18:K19)</f>
        <v>178533.51</v>
      </c>
      <c r="L20" s="182">
        <f t="shared" ref="L20:M20" si="4">SUM(L18:L19)</f>
        <v>267800.26500000001</v>
      </c>
      <c r="M20" s="182">
        <f t="shared" si="4"/>
        <v>357067.02</v>
      </c>
      <c r="N20" s="182">
        <f t="shared" si="3"/>
        <v>339213.66899999999</v>
      </c>
    </row>
    <row r="21" spans="1:14" s="72" customFormat="1" ht="13.5" x14ac:dyDescent="0.25">
      <c r="A21" s="82"/>
      <c r="B21" s="97" t="s">
        <v>118</v>
      </c>
      <c r="C21" s="97"/>
      <c r="D21" s="182">
        <f>D20/'7. Revenue Assumptions'!$D$17</f>
        <v>47888988.564705878</v>
      </c>
      <c r="E21" s="182">
        <f>E20/'7. Revenue Assumptions'!$D$17</f>
        <v>49989382.79999999</v>
      </c>
      <c r="F21" s="182">
        <f>F20/'7. Revenue Assumptions'!$D$17</f>
        <v>70153167.458823532</v>
      </c>
      <c r="G21" s="182">
        <f>G20/'7. Revenue Assumptions'!$D$17</f>
        <v>59231117.435294114</v>
      </c>
      <c r="H21" s="182">
        <f>H20/'7. Revenue Assumptions'!$D$17</f>
        <v>78974823.247058809</v>
      </c>
      <c r="I21" s="182">
        <f>I20/'7. Revenue Assumptions'!$D$17</f>
        <v>3780709.6235294109</v>
      </c>
      <c r="J21" s="182">
        <f>J20/'7. Revenue Assumptions'!$D$17</f>
        <v>5881103.8588235294</v>
      </c>
      <c r="K21" s="182">
        <f>K20/'7. Revenue Assumptions'!$D$17</f>
        <v>4200788.4705882352</v>
      </c>
      <c r="L21" s="182">
        <f>L20/'7. Revenue Assumptions'!$D$17</f>
        <v>6301182.7058823528</v>
      </c>
      <c r="M21" s="182">
        <f>M20/'7. Revenue Assumptions'!$D$17</f>
        <v>8401576.9411764704</v>
      </c>
      <c r="N21" s="182">
        <f>N20/'7. Revenue Assumptions'!$D$17</f>
        <v>7981498.0941176461</v>
      </c>
    </row>
    <row r="22" spans="1:14" s="72" customFormat="1" ht="13.5" x14ac:dyDescent="0.25">
      <c r="A22" s="82"/>
      <c r="B22" s="89"/>
      <c r="C22" s="89"/>
      <c r="D22" s="336"/>
      <c r="E22" s="336"/>
      <c r="F22" s="336"/>
      <c r="G22" s="336"/>
      <c r="H22" s="336"/>
      <c r="I22" s="336"/>
      <c r="J22" s="336"/>
      <c r="K22" s="336"/>
      <c r="L22" s="336"/>
      <c r="M22" s="336"/>
      <c r="N22" s="336"/>
    </row>
    <row r="23" spans="1:14" s="72" customFormat="1" ht="13.5" x14ac:dyDescent="0.25">
      <c r="A23" s="82"/>
      <c r="B23" s="78" t="s">
        <v>177</v>
      </c>
      <c r="C23" s="78"/>
      <c r="D23" s="182"/>
      <c r="E23" s="182"/>
      <c r="F23" s="182"/>
      <c r="G23" s="182"/>
      <c r="H23" s="182"/>
      <c r="I23" s="182"/>
      <c r="J23" s="182"/>
      <c r="K23" s="182"/>
      <c r="L23" s="182"/>
      <c r="M23" s="182"/>
      <c r="N23" s="182"/>
    </row>
    <row r="24" spans="1:14" s="72" customFormat="1" ht="13.5" x14ac:dyDescent="0.25">
      <c r="A24" s="82"/>
      <c r="B24" s="97" t="s">
        <v>8</v>
      </c>
      <c r="C24" s="97"/>
      <c r="D24" s="182">
        <f>'7. Revenue Assumptions'!$D$49*'Test Fits for Pro Forma'!D22</f>
        <v>458599.2</v>
      </c>
      <c r="E24" s="182">
        <f>'7. Revenue Assumptions'!$D$49*'Test Fits for Pro Forma'!E22</f>
        <v>458599.2</v>
      </c>
      <c r="F24" s="182">
        <f>'7. Revenue Assumptions'!$D$49*'Test Fits for Pro Forma'!F22</f>
        <v>458599.2</v>
      </c>
      <c r="G24" s="182">
        <f>'7. Revenue Assumptions'!$D$49*'Test Fits for Pro Forma'!G22</f>
        <v>0</v>
      </c>
      <c r="H24" s="182">
        <f>'7. Revenue Assumptions'!$D$49*'Test Fits for Pro Forma'!H22</f>
        <v>0</v>
      </c>
      <c r="I24" s="182">
        <f>'7. Revenue Assumptions'!$D$49*'Test Fits for Pro Forma'!I22</f>
        <v>18796.8</v>
      </c>
      <c r="J24" s="182">
        <f>'7. Revenue Assumptions'!$D$49*'Test Fits for Pro Forma'!J22</f>
        <v>18796.8</v>
      </c>
      <c r="K24" s="182">
        <f>'7. Revenue Assumptions'!$D$49*'Test Fits for Pro Forma'!L22</f>
        <v>0</v>
      </c>
      <c r="L24" s="182">
        <f>'7. Revenue Assumptions'!$D$49*'Test Fits for Pro Forma'!M22</f>
        <v>0</v>
      </c>
      <c r="M24" s="182">
        <f>'7. Revenue Assumptions'!$D$49*'Test Fits for Pro Forma'!N22</f>
        <v>0</v>
      </c>
      <c r="N24" s="182">
        <f>'7. Revenue Assumptions'!$D$49*'Test Fits for Pro Forma'!K22</f>
        <v>18796.8</v>
      </c>
    </row>
    <row r="25" spans="1:14" s="72" customFormat="1" ht="13.5" x14ac:dyDescent="0.25">
      <c r="A25" s="82"/>
      <c r="B25" s="97" t="s">
        <v>118</v>
      </c>
      <c r="C25" s="97"/>
      <c r="D25" s="182">
        <f>D24/'7. Revenue Assumptions'!$D$50</f>
        <v>6551417.1428571427</v>
      </c>
      <c r="E25" s="182">
        <f>E24/'7. Revenue Assumptions'!$D$50</f>
        <v>6551417.1428571427</v>
      </c>
      <c r="F25" s="182">
        <f>F24/'7. Revenue Assumptions'!$D$50</f>
        <v>6551417.1428571427</v>
      </c>
      <c r="G25" s="182">
        <f>G24/'7. Revenue Assumptions'!$D$50</f>
        <v>0</v>
      </c>
      <c r="H25" s="182">
        <f>H24/'7. Revenue Assumptions'!$D$50</f>
        <v>0</v>
      </c>
      <c r="I25" s="182">
        <f>I24/'7. Revenue Assumptions'!$D$50</f>
        <v>268525.71428571426</v>
      </c>
      <c r="J25" s="182">
        <f>J24/'7. Revenue Assumptions'!$D$50</f>
        <v>268525.71428571426</v>
      </c>
      <c r="K25" s="182">
        <f>K24/'7. Revenue Assumptions'!$D$50</f>
        <v>0</v>
      </c>
      <c r="L25" s="182">
        <f>L24/'7. Revenue Assumptions'!$D$50</f>
        <v>0</v>
      </c>
      <c r="M25" s="182">
        <f>M24/'7. Revenue Assumptions'!$D$50</f>
        <v>0</v>
      </c>
      <c r="N25" s="182">
        <f>N24/'7. Revenue Assumptions'!$D$50</f>
        <v>268525.71428571426</v>
      </c>
    </row>
    <row r="26" spans="1:14" s="72" customFormat="1" ht="13.5" x14ac:dyDescent="0.25">
      <c r="A26" s="82"/>
      <c r="B26" s="82"/>
      <c r="C26" s="82"/>
      <c r="D26" s="88"/>
      <c r="E26" s="88"/>
      <c r="F26" s="88"/>
      <c r="G26" s="88"/>
      <c r="H26" s="88"/>
      <c r="I26" s="88"/>
      <c r="J26" s="88"/>
      <c r="K26" s="88"/>
      <c r="L26" s="88"/>
      <c r="M26" s="88"/>
      <c r="N26" s="88"/>
    </row>
    <row r="27" spans="1:14" s="72" customFormat="1" ht="13.5" x14ac:dyDescent="0.25">
      <c r="A27" s="109"/>
      <c r="B27" s="209" t="s">
        <v>83</v>
      </c>
      <c r="C27" s="209"/>
      <c r="D27" s="210"/>
      <c r="E27" s="210"/>
      <c r="F27" s="210"/>
      <c r="G27" s="210"/>
      <c r="H27" s="210"/>
      <c r="I27" s="210"/>
      <c r="J27" s="210"/>
      <c r="K27" s="210"/>
      <c r="L27" s="210"/>
      <c r="M27" s="210"/>
      <c r="N27" s="210"/>
    </row>
    <row r="28" spans="1:14" s="72" customFormat="1" ht="13.5" x14ac:dyDescent="0.25">
      <c r="A28" s="83"/>
      <c r="B28" s="85" t="s">
        <v>103</v>
      </c>
      <c r="C28" s="85"/>
      <c r="D28" s="173"/>
      <c r="E28" s="173"/>
      <c r="F28" s="173"/>
      <c r="G28" s="173"/>
      <c r="H28" s="173"/>
      <c r="I28" s="173"/>
      <c r="J28" s="173"/>
      <c r="K28" s="173"/>
      <c r="L28" s="173"/>
      <c r="M28" s="173"/>
      <c r="N28" s="173"/>
    </row>
    <row r="29" spans="1:14" s="72" customFormat="1" ht="13.5" x14ac:dyDescent="0.25">
      <c r="A29" s="82"/>
      <c r="B29" s="82"/>
      <c r="C29" s="82"/>
      <c r="D29" s="88"/>
      <c r="E29" s="88"/>
      <c r="F29" s="88"/>
      <c r="G29" s="88"/>
      <c r="H29" s="88"/>
      <c r="I29" s="88"/>
      <c r="J29" s="88"/>
      <c r="K29" s="88"/>
      <c r="L29" s="88"/>
      <c r="M29" s="88"/>
      <c r="N29" s="88"/>
    </row>
    <row r="30" spans="1:14" s="72" customFormat="1" ht="13.5" x14ac:dyDescent="0.25">
      <c r="A30" s="82"/>
      <c r="B30" s="78" t="s">
        <v>486</v>
      </c>
      <c r="C30" s="78"/>
      <c r="D30" s="182">
        <f>D5*('6. Cost Assumptions'!$D$5+'6. Cost Assumptions'!$D$6)</f>
        <v>4776354</v>
      </c>
      <c r="E30" s="182">
        <f>E5*('6. Cost Assumptions'!$D$5+'6. Cost Assumptions'!$D$6)</f>
        <v>4776354</v>
      </c>
      <c r="F30" s="182">
        <f>F5*('6. Cost Assumptions'!$D$5+'6. Cost Assumptions'!$D$6)</f>
        <v>4776354</v>
      </c>
      <c r="G30" s="182">
        <f>G5*('6. Cost Assumptions'!$D$5+'6. Cost Assumptions'!$D$6)</f>
        <v>4776354</v>
      </c>
      <c r="H30" s="182">
        <f>H5*('6. Cost Assumptions'!$D$5+'6. Cost Assumptions'!$D$6)</f>
        <v>4776354</v>
      </c>
      <c r="I30" s="182">
        <f>I5*('6. Cost Assumptions'!$D$5+'6. Cost Assumptions'!$D$6)</f>
        <v>595764.99999999988</v>
      </c>
      <c r="J30" s="182">
        <f>J5*('6. Cost Assumptions'!$D$5+'6. Cost Assumptions'!$D$6)</f>
        <v>595764.99999999988</v>
      </c>
      <c r="K30" s="182">
        <f>K5*('6. Cost Assumptions'!$D$5+'6. Cost Assumptions'!$D$6)</f>
        <v>595764.99999999988</v>
      </c>
      <c r="L30" s="182">
        <f>L5*('6. Cost Assumptions'!$D$5+'6. Cost Assumptions'!$D$6)</f>
        <v>595764.99999999988</v>
      </c>
      <c r="M30" s="182">
        <f>M5*('6. Cost Assumptions'!$D$5+'6. Cost Assumptions'!$D$6)</f>
        <v>595764.99999999988</v>
      </c>
      <c r="N30" s="182">
        <f>N5*('6. Cost Assumptions'!$D$5+'6. Cost Assumptions'!$D$6)</f>
        <v>595764.99999999988</v>
      </c>
    </row>
    <row r="31" spans="1:14" s="207" customFormat="1" ht="13.5" x14ac:dyDescent="0.25">
      <c r="A31" s="83"/>
      <c r="B31" s="334" t="s">
        <v>298</v>
      </c>
      <c r="C31" s="334"/>
      <c r="D31" s="335">
        <f t="shared" ref="D31:N31" si="5">D30/D8</f>
        <v>41897.84210526316</v>
      </c>
      <c r="E31" s="335">
        <f t="shared" si="5"/>
        <v>40137.428571428572</v>
      </c>
      <c r="F31" s="335">
        <f t="shared" si="5"/>
        <v>28600.922155688622</v>
      </c>
      <c r="G31" s="335">
        <f t="shared" si="5"/>
        <v>33874.851063829788</v>
      </c>
      <c r="H31" s="335">
        <f t="shared" si="5"/>
        <v>25406.138297872341</v>
      </c>
      <c r="I31" s="335">
        <f t="shared" si="5"/>
        <v>66196.111111111095</v>
      </c>
      <c r="J31" s="335">
        <f t="shared" si="5"/>
        <v>42554.642857142848</v>
      </c>
      <c r="K31" s="335">
        <f>K30/K8</f>
        <v>59576.499999999985</v>
      </c>
      <c r="L31" s="335">
        <f>L30/L8</f>
        <v>39717.666666666657</v>
      </c>
      <c r="M31" s="335">
        <f>M30/M8</f>
        <v>29788.249999999993</v>
      </c>
      <c r="N31" s="335">
        <f t="shared" si="5"/>
        <v>31356.052631578943</v>
      </c>
    </row>
    <row r="32" spans="1:14" s="72" customFormat="1" ht="13.5" x14ac:dyDescent="0.25">
      <c r="A32" s="82"/>
      <c r="B32" s="82"/>
      <c r="C32" s="82"/>
      <c r="D32" s="182"/>
      <c r="E32" s="182"/>
      <c r="F32" s="182"/>
      <c r="G32" s="182"/>
      <c r="H32" s="182"/>
      <c r="I32" s="182"/>
      <c r="J32" s="182"/>
      <c r="K32" s="182"/>
      <c r="L32" s="182"/>
      <c r="M32" s="182"/>
      <c r="N32" s="182"/>
    </row>
    <row r="33" spans="1:16" s="72" customFormat="1" ht="13.5" x14ac:dyDescent="0.25">
      <c r="A33" s="82"/>
      <c r="B33" s="186" t="s">
        <v>42</v>
      </c>
      <c r="C33" s="186"/>
      <c r="D33" s="182"/>
      <c r="E33" s="182"/>
      <c r="F33" s="182"/>
      <c r="G33" s="182"/>
      <c r="H33" s="182"/>
      <c r="I33" s="182"/>
      <c r="J33" s="182"/>
      <c r="K33" s="182"/>
      <c r="L33" s="182"/>
      <c r="M33" s="182"/>
      <c r="N33" s="182"/>
    </row>
    <row r="34" spans="1:16" s="72" customFormat="1" ht="13.5" x14ac:dyDescent="0.25">
      <c r="A34" s="82"/>
      <c r="B34" s="187" t="s">
        <v>487</v>
      </c>
      <c r="C34" s="187"/>
      <c r="D34" s="182">
        <f>D6*'6. Cost Assumptions'!$D$9</f>
        <v>32827850</v>
      </c>
      <c r="E34" s="182">
        <f>E6*'6. Cost Assumptions'!$D$9</f>
        <v>34121450</v>
      </c>
      <c r="F34" s="182">
        <f>F6*'6. Cost Assumptions'!$D$9</f>
        <v>45383250</v>
      </c>
      <c r="G34" s="182">
        <f>G6*'6. Cost Assumptions'!$D$9</f>
        <v>33293700</v>
      </c>
      <c r="H34" s="182">
        <f>H6*'6. Cost Assumptions'!$D$9</f>
        <v>44555500</v>
      </c>
      <c r="I34" s="182">
        <f>I6*'6. Cost Assumptions'!$D$9</f>
        <v>2704900</v>
      </c>
      <c r="J34" s="182">
        <f>J6*'6. Cost Assumptions'!$D$9</f>
        <v>3810675</v>
      </c>
      <c r="K34" s="182">
        <f>K6*'6. Cost Assumptions'!$D$9</f>
        <v>2704900</v>
      </c>
      <c r="L34" s="182">
        <f>L6*'6. Cost Assumptions'!$D$9</f>
        <v>3810675</v>
      </c>
      <c r="M34" s="182">
        <f>M6*'6. Cost Assumptions'!$D$9</f>
        <v>4916450</v>
      </c>
      <c r="N34" s="182">
        <f>N6*'6. Cost Assumptions'!$D$9</f>
        <v>4916450</v>
      </c>
    </row>
    <row r="35" spans="1:16" s="72" customFormat="1" ht="15.75" x14ac:dyDescent="0.4">
      <c r="A35" s="82"/>
      <c r="B35" s="397" t="s">
        <v>0</v>
      </c>
      <c r="C35" s="397"/>
      <c r="D35" s="398">
        <f>D11*'6. Cost Assumptions'!$D$11</f>
        <v>6906528.1000000006</v>
      </c>
      <c r="E35" s="398">
        <f>E11*'6. Cost Assumptions'!$D$11</f>
        <v>12571491.644444445</v>
      </c>
      <c r="F35" s="398">
        <f>F11*'6. Cost Assumptions'!$D$11</f>
        <v>12571491.644444445</v>
      </c>
      <c r="G35" s="398">
        <f>G11*'6. Cost Assumptions'!$D$11</f>
        <v>12880000</v>
      </c>
      <c r="H35" s="398">
        <f>H11*'6. Cost Assumptions'!$D$11</f>
        <v>12864711.111111112</v>
      </c>
      <c r="I35" s="398">
        <f>I11*'6. Cost Assumptions'!$D$11</f>
        <v>822400</v>
      </c>
      <c r="J35" s="398">
        <f>J11*'6. Cost Assumptions'!$D$11</f>
        <v>822400</v>
      </c>
      <c r="K35" s="398">
        <f>K11*'6. Cost Assumptions'!$D$11</f>
        <v>822400</v>
      </c>
      <c r="L35" s="398">
        <f>L11*'6. Cost Assumptions'!$D$11</f>
        <v>822400</v>
      </c>
      <c r="M35" s="184">
        <f>M11*'6. Cost Assumptions'!$D$10</f>
        <v>411200</v>
      </c>
      <c r="N35" s="398">
        <f>N11*'6. Cost Assumptions'!$D$11</f>
        <v>822400</v>
      </c>
      <c r="P35" s="257" t="s">
        <v>490</v>
      </c>
    </row>
    <row r="36" spans="1:16" s="72" customFormat="1" ht="13.5" x14ac:dyDescent="0.25">
      <c r="A36" s="82"/>
      <c r="B36" s="189" t="s">
        <v>43</v>
      </c>
      <c r="C36" s="189"/>
      <c r="D36" s="185">
        <f t="shared" ref="D36:N36" si="6">SUM(D34:D35)</f>
        <v>39734378.100000001</v>
      </c>
      <c r="E36" s="185">
        <f t="shared" si="6"/>
        <v>46692941.644444443</v>
      </c>
      <c r="F36" s="185">
        <f t="shared" si="6"/>
        <v>57954741.644444443</v>
      </c>
      <c r="G36" s="185">
        <f t="shared" si="6"/>
        <v>46173700</v>
      </c>
      <c r="H36" s="185">
        <f t="shared" si="6"/>
        <v>57420211.111111112</v>
      </c>
      <c r="I36" s="185">
        <f t="shared" si="6"/>
        <v>3527300</v>
      </c>
      <c r="J36" s="185">
        <f t="shared" si="6"/>
        <v>4633075</v>
      </c>
      <c r="K36" s="185">
        <f>SUM(K34:K35)</f>
        <v>3527300</v>
      </c>
      <c r="L36" s="185">
        <f>SUM(L34:L35)</f>
        <v>4633075</v>
      </c>
      <c r="M36" s="185">
        <f>SUM(M34:M35)</f>
        <v>5327650</v>
      </c>
      <c r="N36" s="185">
        <f t="shared" si="6"/>
        <v>5738850</v>
      </c>
    </row>
    <row r="37" spans="1:16" s="72" customFormat="1" ht="13.5" x14ac:dyDescent="0.25">
      <c r="A37" s="82"/>
      <c r="B37" s="190"/>
      <c r="C37" s="190"/>
      <c r="D37" s="335"/>
      <c r="E37" s="335"/>
      <c r="F37" s="335"/>
      <c r="G37" s="335"/>
      <c r="H37" s="335"/>
      <c r="I37" s="335"/>
      <c r="J37" s="335"/>
      <c r="K37" s="335"/>
      <c r="L37" s="335"/>
      <c r="M37" s="335"/>
      <c r="N37" s="335"/>
    </row>
    <row r="38" spans="1:16" s="72" customFormat="1" ht="13.5" x14ac:dyDescent="0.25">
      <c r="A38" s="82"/>
      <c r="B38" s="186" t="s">
        <v>44</v>
      </c>
      <c r="C38" s="186"/>
      <c r="D38" s="182"/>
      <c r="E38" s="182"/>
      <c r="F38" s="182"/>
      <c r="G38" s="182"/>
      <c r="H38" s="182"/>
      <c r="I38" s="182"/>
      <c r="J38" s="182"/>
      <c r="K38" s="182"/>
      <c r="L38" s="182"/>
      <c r="M38" s="182"/>
      <c r="N38" s="182"/>
    </row>
    <row r="39" spans="1:16" s="72" customFormat="1" ht="13.5" x14ac:dyDescent="0.25">
      <c r="A39" s="82"/>
      <c r="B39" s="187" t="s">
        <v>28</v>
      </c>
      <c r="C39" s="187"/>
      <c r="D39" s="182">
        <f>'6. Cost Assumptions'!$D14*D$36</f>
        <v>2384062.6860000002</v>
      </c>
      <c r="E39" s="182">
        <f>'6. Cost Assumptions'!$D14*E$36</f>
        <v>2801576.4986666664</v>
      </c>
      <c r="F39" s="182">
        <f>'6. Cost Assumptions'!$D14*F$36</f>
        <v>3477284.4986666664</v>
      </c>
      <c r="G39" s="182">
        <f>'6. Cost Assumptions'!$D14*G$36</f>
        <v>2770422</v>
      </c>
      <c r="H39" s="182">
        <f>'6. Cost Assumptions'!$D14*H$36</f>
        <v>3445212.6666666665</v>
      </c>
      <c r="I39" s="182">
        <f>'6. Cost Assumptions'!$D14*I$36</f>
        <v>211638</v>
      </c>
      <c r="J39" s="182">
        <f>'6. Cost Assumptions'!$D14*J$36</f>
        <v>277984.5</v>
      </c>
      <c r="K39" s="182">
        <f>'6. Cost Assumptions'!$D14*K$36</f>
        <v>211638</v>
      </c>
      <c r="L39" s="182">
        <f>'6. Cost Assumptions'!$D14*L$36</f>
        <v>277984.5</v>
      </c>
      <c r="M39" s="182">
        <f>'6. Cost Assumptions'!$D14*M$36</f>
        <v>319659</v>
      </c>
      <c r="N39" s="182">
        <f>'6. Cost Assumptions'!$D14*N$36</f>
        <v>344331</v>
      </c>
    </row>
    <row r="40" spans="1:16" s="72" customFormat="1" ht="13.5" x14ac:dyDescent="0.25">
      <c r="A40" s="82"/>
      <c r="B40" s="187" t="s">
        <v>29</v>
      </c>
      <c r="C40" s="187"/>
      <c r="D40" s="182">
        <f>'6. Cost Assumptions'!$D15*D$36</f>
        <v>1192031.3430000001</v>
      </c>
      <c r="E40" s="182">
        <f>'6. Cost Assumptions'!$D15*E$36</f>
        <v>1400788.2493333332</v>
      </c>
      <c r="F40" s="182">
        <f>'6. Cost Assumptions'!$D15*F$36</f>
        <v>1738642.2493333332</v>
      </c>
      <c r="G40" s="182">
        <f>'6. Cost Assumptions'!$D15*G$36</f>
        <v>1385211</v>
      </c>
      <c r="H40" s="182">
        <f>'6. Cost Assumptions'!$D15*H$36</f>
        <v>1722606.3333333333</v>
      </c>
      <c r="I40" s="182">
        <f>'6. Cost Assumptions'!$D15*I$36</f>
        <v>105819</v>
      </c>
      <c r="J40" s="182">
        <f>'6. Cost Assumptions'!$D15*J$36</f>
        <v>138992.25</v>
      </c>
      <c r="K40" s="182">
        <f>'6. Cost Assumptions'!$D15*K$36</f>
        <v>105819</v>
      </c>
      <c r="L40" s="182">
        <f>'6. Cost Assumptions'!$D15*L$36</f>
        <v>138992.25</v>
      </c>
      <c r="M40" s="182">
        <f>'6. Cost Assumptions'!$D15*M$36</f>
        <v>159829.5</v>
      </c>
      <c r="N40" s="182">
        <f>'6. Cost Assumptions'!$D15*N$36</f>
        <v>172165.5</v>
      </c>
    </row>
    <row r="41" spans="1:16" s="72" customFormat="1" ht="15.75" x14ac:dyDescent="0.4">
      <c r="A41" s="82"/>
      <c r="B41" s="191" t="s">
        <v>30</v>
      </c>
      <c r="C41" s="191"/>
      <c r="D41" s="184">
        <f>'6. Cost Assumptions'!$D16*D$36</f>
        <v>1986718.9050000003</v>
      </c>
      <c r="E41" s="184">
        <f>'6. Cost Assumptions'!$D16*E$36</f>
        <v>2334647.0822222224</v>
      </c>
      <c r="F41" s="184">
        <f>'6. Cost Assumptions'!$D16*F$36</f>
        <v>2897737.0822222224</v>
      </c>
      <c r="G41" s="184">
        <f>'6. Cost Assumptions'!$D16*G$36</f>
        <v>2308685</v>
      </c>
      <c r="H41" s="184">
        <f>'6. Cost Assumptions'!$D16*H$36</f>
        <v>2871010.555555556</v>
      </c>
      <c r="I41" s="184">
        <f>'6. Cost Assumptions'!$D16*I$36</f>
        <v>176365</v>
      </c>
      <c r="J41" s="184">
        <f>'6. Cost Assumptions'!$D16*J$36</f>
        <v>231653.75</v>
      </c>
      <c r="K41" s="184">
        <f>'6. Cost Assumptions'!$D16*K$36</f>
        <v>176365</v>
      </c>
      <c r="L41" s="184">
        <f>'6. Cost Assumptions'!$D16*L$36</f>
        <v>231653.75</v>
      </c>
      <c r="M41" s="184">
        <f>'6. Cost Assumptions'!$D16*M$36</f>
        <v>266382.5</v>
      </c>
      <c r="N41" s="184">
        <f>'6. Cost Assumptions'!$D16*N$36</f>
        <v>286942.5</v>
      </c>
    </row>
    <row r="42" spans="1:16" s="72" customFormat="1" ht="13.5" x14ac:dyDescent="0.25">
      <c r="A42" s="82"/>
      <c r="B42" s="124" t="s">
        <v>25</v>
      </c>
      <c r="C42" s="124"/>
      <c r="D42" s="182">
        <f>'6. Cost Assumptions'!$D$17*D36</f>
        <v>5562812.9340000004</v>
      </c>
      <c r="E42" s="182">
        <f>'6. Cost Assumptions'!$D$17*E36</f>
        <v>6537011.830222223</v>
      </c>
      <c r="F42" s="182">
        <f>'6. Cost Assumptions'!$D$17*F36</f>
        <v>8113663.830222223</v>
      </c>
      <c r="G42" s="182">
        <f>'6. Cost Assumptions'!$D$17*G36</f>
        <v>6464318.0000000009</v>
      </c>
      <c r="H42" s="182">
        <f>'6. Cost Assumptions'!$D$17*H36</f>
        <v>8038829.5555555569</v>
      </c>
      <c r="I42" s="182">
        <f>'6. Cost Assumptions'!$D$17*I36</f>
        <v>493822.00000000006</v>
      </c>
      <c r="J42" s="182">
        <f>'6. Cost Assumptions'!$D$17*J36</f>
        <v>648630.50000000012</v>
      </c>
      <c r="K42" s="182">
        <f>'6. Cost Assumptions'!$D$17*K36</f>
        <v>493822.00000000006</v>
      </c>
      <c r="L42" s="182">
        <f>'6. Cost Assumptions'!$D$17*L36</f>
        <v>648630.50000000012</v>
      </c>
      <c r="M42" s="182">
        <f>'6. Cost Assumptions'!$D$17*M36</f>
        <v>745871.00000000012</v>
      </c>
      <c r="N42" s="182">
        <f>'6. Cost Assumptions'!$D$17*N36</f>
        <v>803439.00000000012</v>
      </c>
    </row>
    <row r="43" spans="1:16" s="72" customFormat="1" ht="13.5" x14ac:dyDescent="0.25">
      <c r="A43" s="82"/>
      <c r="B43" s="192" t="s">
        <v>32</v>
      </c>
      <c r="C43" s="192"/>
      <c r="D43" s="193">
        <f>'6. Cost Assumptions'!$D$34*D8</f>
        <v>3420000</v>
      </c>
      <c r="E43" s="193">
        <f>'6. Cost Assumptions'!$D$34*E8</f>
        <v>3570000</v>
      </c>
      <c r="F43" s="193">
        <f>'6. Cost Assumptions'!$D$34*F8</f>
        <v>5010000</v>
      </c>
      <c r="G43" s="193">
        <f>'6. Cost Assumptions'!$D$34*G8</f>
        <v>4230000</v>
      </c>
      <c r="H43" s="193">
        <f>'6. Cost Assumptions'!$D$34*H8</f>
        <v>5640000</v>
      </c>
      <c r="I43" s="193">
        <f>'6. Cost Assumptions'!$D$34*I8</f>
        <v>270000</v>
      </c>
      <c r="J43" s="193">
        <f>'6. Cost Assumptions'!$D$34*J8</f>
        <v>420000</v>
      </c>
      <c r="K43" s="193">
        <f>'6. Cost Assumptions'!$D$34*K8</f>
        <v>300000</v>
      </c>
      <c r="L43" s="193">
        <f>'6. Cost Assumptions'!$D$34*L8</f>
        <v>450000</v>
      </c>
      <c r="M43" s="193">
        <f>'6. Cost Assumptions'!$D$34*M8</f>
        <v>600000</v>
      </c>
      <c r="N43" s="193">
        <f>'6. Cost Assumptions'!$D$34*N8</f>
        <v>570000</v>
      </c>
    </row>
    <row r="44" spans="1:16" s="72" customFormat="1" ht="15.75" x14ac:dyDescent="0.4">
      <c r="A44" s="82"/>
      <c r="B44" s="188"/>
      <c r="C44" s="188"/>
      <c r="D44" s="184">
        <f>SUM(D30,D36,D42:D43)*SUM('6. Cost Assumptions'!$D$29:$D$30)</f>
        <v>1925433.2865675378</v>
      </c>
      <c r="E44" s="212">
        <f>SUM(E30,E36,E42:E43)*SUM('6. Cost Assumptions'!$D$29:$D$30)</f>
        <v>2216362.2171662836</v>
      </c>
      <c r="F44" s="212">
        <f>SUM(F30,F36,F42:F43)*SUM('6. Cost Assumptions'!$D$29:$D$30)</f>
        <v>2730297.2488412838</v>
      </c>
      <c r="G44" s="212">
        <f>SUM(G30,G36,G42:G43)*SUM('6. Cost Assumptions'!$D$29:$D$30)</f>
        <v>2218812.1146750003</v>
      </c>
      <c r="H44" s="212">
        <f>SUM(H30,H36,H42:H43)*SUM('6. Cost Assumptions'!$D$29:$D$30)</f>
        <v>2731039.9867833341</v>
      </c>
      <c r="I44" s="212">
        <f>SUM(I30,I36,I42:I43)*SUM('6. Cost Assumptions'!$D$29:$D$30)</f>
        <v>175897.38895625001</v>
      </c>
      <c r="J44" s="212">
        <f>SUM(J30,J36,J42:J43)*SUM('6. Cost Assumptions'!$D$29:$D$30)</f>
        <v>226669.57880937503</v>
      </c>
      <c r="K44" s="212">
        <f>SUM(K30,K36,K42:K43)*SUM('6. Cost Assumptions'!$D$29:$D$30)</f>
        <v>176977.20145625001</v>
      </c>
      <c r="L44" s="212">
        <f>SUM(L30,L36,L42:L43)*SUM('6. Cost Assumptions'!$D$29:$D$30)</f>
        <v>227749.39130937503</v>
      </c>
      <c r="M44" s="212">
        <f>SUM(M30,M36,M42:M43)*SUM('6. Cost Assumptions'!$D$29:$D$30)</f>
        <v>261648.86296250005</v>
      </c>
      <c r="N44" s="212">
        <f>SUM(N30,N36,N42:N43)*SUM('6. Cost Assumptions'!$D$29:$D$30)</f>
        <v>277441.76866250002</v>
      </c>
    </row>
    <row r="45" spans="1:16" s="72" customFormat="1" ht="13.5" x14ac:dyDescent="0.25">
      <c r="A45" s="82"/>
      <c r="B45" s="194" t="s">
        <v>45</v>
      </c>
      <c r="C45" s="194"/>
      <c r="D45" s="185">
        <f>SUM(D42:D44)</f>
        <v>10908246.220567537</v>
      </c>
      <c r="E45" s="185">
        <f t="shared" ref="E45:N45" si="7">SUM(E42:E44)</f>
        <v>12323374.047388507</v>
      </c>
      <c r="F45" s="185">
        <f t="shared" si="7"/>
        <v>15853961.079063507</v>
      </c>
      <c r="G45" s="185">
        <f t="shared" si="7"/>
        <v>12913130.114675</v>
      </c>
      <c r="H45" s="185">
        <f t="shared" si="7"/>
        <v>16409869.542338889</v>
      </c>
      <c r="I45" s="185">
        <f t="shared" si="7"/>
        <v>939719.38895625004</v>
      </c>
      <c r="J45" s="185">
        <f t="shared" si="7"/>
        <v>1295300.0788093749</v>
      </c>
      <c r="K45" s="185">
        <f>SUM(K42:K44)</f>
        <v>970799.20145625004</v>
      </c>
      <c r="L45" s="185">
        <f t="shared" ref="L45:M45" si="8">SUM(L42:L44)</f>
        <v>1326379.8913093749</v>
      </c>
      <c r="M45" s="185">
        <f t="shared" si="8"/>
        <v>1607519.8629625</v>
      </c>
      <c r="N45" s="185">
        <f t="shared" si="7"/>
        <v>1650880.7686625</v>
      </c>
    </row>
    <row r="46" spans="1:16" s="72" customFormat="1" ht="13.5" x14ac:dyDescent="0.25">
      <c r="A46" s="82"/>
      <c r="B46" s="78"/>
      <c r="C46" s="78"/>
      <c r="D46" s="195"/>
      <c r="E46" s="195"/>
      <c r="F46" s="195"/>
      <c r="G46" s="195"/>
      <c r="H46" s="195"/>
      <c r="I46" s="195"/>
      <c r="J46" s="195"/>
      <c r="K46" s="195"/>
      <c r="L46" s="195"/>
      <c r="M46" s="195"/>
      <c r="N46" s="195"/>
    </row>
    <row r="47" spans="1:16" s="72" customFormat="1" ht="15.75" x14ac:dyDescent="0.4">
      <c r="A47" s="82"/>
      <c r="B47" s="196" t="s">
        <v>31</v>
      </c>
      <c r="C47" s="196"/>
      <c r="D47" s="197">
        <f>'6. Cost Assumptions'!$D$19*('Pro Forma UG Parking'!D36)</f>
        <v>1986718.9050000003</v>
      </c>
      <c r="E47" s="197">
        <f>'6. Cost Assumptions'!$D$19*('Pro Forma UG Parking'!E36)</f>
        <v>2334647.0822222224</v>
      </c>
      <c r="F47" s="197">
        <f>'6. Cost Assumptions'!$D$19*('Pro Forma UG Parking'!F36)</f>
        <v>2897737.0822222224</v>
      </c>
      <c r="G47" s="197">
        <f>'6. Cost Assumptions'!$D$19*('Pro Forma UG Parking'!G36)</f>
        <v>2308685</v>
      </c>
      <c r="H47" s="197">
        <f>'6. Cost Assumptions'!$D$19*('Pro Forma UG Parking'!H36)</f>
        <v>2871010.555555556</v>
      </c>
      <c r="I47" s="197">
        <f>'6. Cost Assumptions'!$D$19*('Pro Forma UG Parking'!I36)</f>
        <v>176365</v>
      </c>
      <c r="J47" s="197">
        <f>'6. Cost Assumptions'!$D$19*('Pro Forma UG Parking'!J36)</f>
        <v>231653.75</v>
      </c>
      <c r="K47" s="197">
        <f>'6. Cost Assumptions'!$D$19*('Pro Forma UG Parking'!K36)</f>
        <v>176365</v>
      </c>
      <c r="L47" s="197">
        <f>'6. Cost Assumptions'!$D$19*('Pro Forma UG Parking'!L36)</f>
        <v>231653.75</v>
      </c>
      <c r="M47" s="197">
        <f>'6. Cost Assumptions'!$D$19*('Pro Forma UG Parking'!M36)</f>
        <v>266382.5</v>
      </c>
      <c r="N47" s="197">
        <f>'6. Cost Assumptions'!$D$19*('Pro Forma UG Parking'!N36)</f>
        <v>286942.5</v>
      </c>
    </row>
    <row r="48" spans="1:16" s="72" customFormat="1" ht="13.5" x14ac:dyDescent="0.25">
      <c r="A48" s="82"/>
      <c r="B48" s="124"/>
      <c r="C48" s="124"/>
      <c r="D48" s="87"/>
      <c r="E48" s="87"/>
      <c r="F48" s="87"/>
      <c r="G48" s="87"/>
      <c r="H48" s="87"/>
      <c r="I48" s="87"/>
      <c r="J48" s="87"/>
      <c r="K48" s="87"/>
      <c r="L48" s="87"/>
      <c r="M48" s="87"/>
      <c r="N48" s="87"/>
    </row>
    <row r="49" spans="1:14" s="72" customFormat="1" ht="13.5" x14ac:dyDescent="0.25">
      <c r="A49" s="82"/>
      <c r="B49" s="78" t="s">
        <v>107</v>
      </c>
      <c r="C49" s="78"/>
      <c r="D49" s="185">
        <f>SUM(D30,D36,D45,D47)</f>
        <v>57405697.225567542</v>
      </c>
      <c r="E49" s="185">
        <f t="shared" ref="E49:N49" si="9">SUM(E30,E36,E45,E47)</f>
        <v>66127316.774055175</v>
      </c>
      <c r="F49" s="185">
        <f t="shared" si="9"/>
        <v>81482793.805730179</v>
      </c>
      <c r="G49" s="185">
        <f t="shared" si="9"/>
        <v>66171869.114675</v>
      </c>
      <c r="H49" s="185">
        <f t="shared" si="9"/>
        <v>81477445.20900555</v>
      </c>
      <c r="I49" s="185">
        <f t="shared" si="9"/>
        <v>5239149.3889562497</v>
      </c>
      <c r="J49" s="185">
        <f t="shared" si="9"/>
        <v>6755793.8288093749</v>
      </c>
      <c r="K49" s="185">
        <f>SUM(K30,K36,K45,K47)</f>
        <v>5270229.2014562497</v>
      </c>
      <c r="L49" s="185">
        <f t="shared" ref="L49:M49" si="10">SUM(L30,L36,L45,L47)</f>
        <v>6786873.6413093749</v>
      </c>
      <c r="M49" s="185">
        <f t="shared" si="10"/>
        <v>7797317.3629625002</v>
      </c>
      <c r="N49" s="185">
        <f t="shared" si="9"/>
        <v>8272438.2686625002</v>
      </c>
    </row>
    <row r="50" spans="1:14" s="72" customFormat="1" ht="13.5" x14ac:dyDescent="0.25">
      <c r="A50" s="82"/>
      <c r="B50" s="166"/>
      <c r="C50" s="166"/>
      <c r="D50" s="198"/>
      <c r="E50" s="199"/>
      <c r="F50" s="199"/>
      <c r="G50" s="199"/>
      <c r="H50" s="199"/>
      <c r="I50" s="199"/>
      <c r="J50" s="199"/>
      <c r="K50" s="199"/>
      <c r="L50" s="199"/>
      <c r="M50" s="199"/>
      <c r="N50" s="199"/>
    </row>
    <row r="51" spans="1:14" s="72" customFormat="1" ht="13.5" x14ac:dyDescent="0.25">
      <c r="A51" s="82"/>
      <c r="B51" s="89" t="s">
        <v>431</v>
      </c>
      <c r="C51" s="89"/>
      <c r="D51" s="336">
        <f t="shared" ref="D51:N51" si="11">D49/D8</f>
        <v>503558.74759269773</v>
      </c>
      <c r="E51" s="336">
        <f t="shared" si="11"/>
        <v>555691.7375971023</v>
      </c>
      <c r="F51" s="336">
        <f t="shared" si="11"/>
        <v>487920.92099239631</v>
      </c>
      <c r="G51" s="336">
        <f t="shared" si="11"/>
        <v>469304.03627429076</v>
      </c>
      <c r="H51" s="336">
        <f t="shared" si="11"/>
        <v>433390.66600534867</v>
      </c>
      <c r="I51" s="336">
        <f t="shared" si="11"/>
        <v>582127.70988402772</v>
      </c>
      <c r="J51" s="336">
        <f t="shared" si="11"/>
        <v>482556.70205781248</v>
      </c>
      <c r="K51" s="336">
        <f>K49/K8</f>
        <v>527022.92014562502</v>
      </c>
      <c r="L51" s="336">
        <f>L49/L8</f>
        <v>452458.24275395833</v>
      </c>
      <c r="M51" s="336">
        <f>M49/M8</f>
        <v>389865.86814812501</v>
      </c>
      <c r="N51" s="336">
        <f t="shared" si="11"/>
        <v>435391.4878243421</v>
      </c>
    </row>
    <row r="52" spans="1:14" s="72" customFormat="1" ht="13.5" x14ac:dyDescent="0.25">
      <c r="A52" s="82"/>
      <c r="B52" s="85"/>
      <c r="C52" s="85"/>
      <c r="D52" s="198"/>
      <c r="E52" s="199"/>
      <c r="F52" s="199"/>
      <c r="G52" s="199"/>
      <c r="H52" s="199"/>
      <c r="I52" s="199"/>
      <c r="J52" s="199"/>
      <c r="K52" s="199"/>
      <c r="L52" s="199"/>
      <c r="M52" s="199"/>
      <c r="N52" s="199"/>
    </row>
    <row r="53" spans="1:14" s="72" customFormat="1" ht="13.5" x14ac:dyDescent="0.25">
      <c r="A53" s="109"/>
      <c r="B53" s="209" t="s">
        <v>119</v>
      </c>
      <c r="C53" s="209"/>
      <c r="D53" s="210"/>
      <c r="E53" s="210"/>
      <c r="F53" s="210"/>
      <c r="G53" s="210"/>
      <c r="H53" s="210"/>
      <c r="I53" s="210"/>
      <c r="J53" s="210"/>
      <c r="K53" s="210"/>
      <c r="L53" s="210"/>
      <c r="M53" s="210"/>
      <c r="N53" s="210"/>
    </row>
    <row r="54" spans="1:14" s="72" customFormat="1" ht="13.5" hidden="1" customHeight="1" x14ac:dyDescent="0.25">
      <c r="A54" s="83"/>
      <c r="B54" s="82" t="s">
        <v>127</v>
      </c>
      <c r="C54" s="82"/>
      <c r="D54" s="200">
        <f>D21</f>
        <v>47888988.564705878</v>
      </c>
      <c r="E54" s="200">
        <f>E21</f>
        <v>49989382.79999999</v>
      </c>
      <c r="F54" s="200">
        <f>F21</f>
        <v>70153167.458823532</v>
      </c>
      <c r="G54" s="200"/>
      <c r="H54" s="200"/>
      <c r="I54" s="200"/>
      <c r="J54" s="200"/>
      <c r="K54" s="200"/>
      <c r="L54" s="200"/>
      <c r="M54" s="200"/>
      <c r="N54" s="200"/>
    </row>
    <row r="55" spans="1:14" s="72" customFormat="1" ht="15.75" hidden="1" customHeight="1" x14ac:dyDescent="0.4">
      <c r="A55" s="82"/>
      <c r="B55" s="183" t="s">
        <v>107</v>
      </c>
      <c r="C55" s="183"/>
      <c r="D55" s="201">
        <f>D49</f>
        <v>57405697.225567542</v>
      </c>
      <c r="E55" s="201">
        <f t="shared" ref="E55:F55" si="12">E49</f>
        <v>66127316.774055175</v>
      </c>
      <c r="F55" s="201">
        <f t="shared" si="12"/>
        <v>81482793.805730179</v>
      </c>
      <c r="G55" s="201"/>
      <c r="H55" s="201"/>
      <c r="I55" s="201"/>
      <c r="J55" s="201"/>
      <c r="K55" s="201"/>
      <c r="L55" s="201"/>
      <c r="M55" s="201"/>
      <c r="N55" s="201"/>
    </row>
    <row r="56" spans="1:14" s="72" customFormat="1" ht="13.5" hidden="1" customHeight="1" x14ac:dyDescent="0.25">
      <c r="A56" s="82"/>
      <c r="B56" s="82" t="s">
        <v>128</v>
      </c>
      <c r="C56" s="82"/>
      <c r="D56" s="202">
        <f>D54-D55</f>
        <v>-9516708.6608616635</v>
      </c>
      <c r="E56" s="202">
        <f t="shared" ref="E56:F56" si="13">E54-E55</f>
        <v>-16137933.974055186</v>
      </c>
      <c r="F56" s="202">
        <f t="shared" si="13"/>
        <v>-11329626.346906647</v>
      </c>
      <c r="G56" s="202"/>
      <c r="H56" s="202"/>
      <c r="I56" s="202"/>
      <c r="J56" s="202"/>
      <c r="K56" s="202"/>
      <c r="L56" s="202"/>
      <c r="M56" s="202"/>
      <c r="N56" s="202"/>
    </row>
    <row r="57" spans="1:14" s="72" customFormat="1" ht="13.5" hidden="1" customHeight="1" x14ac:dyDescent="0.25">
      <c r="A57" s="82"/>
      <c r="B57" s="82" t="s">
        <v>129</v>
      </c>
      <c r="C57" s="82"/>
      <c r="D57" s="203">
        <f>D56/D54</f>
        <v>-0.1987243611963746</v>
      </c>
      <c r="E57" s="203">
        <f t="shared" ref="E57:F57" si="14">E56/E54</f>
        <v>-0.32282722990641105</v>
      </c>
      <c r="F57" s="203">
        <f t="shared" si="14"/>
        <v>-0.16149842918434984</v>
      </c>
      <c r="G57" s="203"/>
      <c r="H57" s="203"/>
      <c r="I57" s="203"/>
      <c r="J57" s="203"/>
      <c r="K57" s="203"/>
      <c r="L57" s="203"/>
      <c r="M57" s="203"/>
      <c r="N57" s="203"/>
    </row>
    <row r="58" spans="1:14" s="72" customFormat="1" ht="13.5" x14ac:dyDescent="0.25">
      <c r="A58" s="83"/>
      <c r="B58" s="85" t="s">
        <v>103</v>
      </c>
      <c r="C58" s="85"/>
      <c r="D58" s="173"/>
      <c r="E58" s="173"/>
      <c r="F58" s="173"/>
      <c r="G58" s="173"/>
      <c r="H58" s="173"/>
      <c r="I58" s="173"/>
      <c r="J58" s="173"/>
      <c r="K58" s="173"/>
      <c r="L58" s="173"/>
      <c r="M58" s="173"/>
      <c r="N58" s="173"/>
    </row>
    <row r="59" spans="1:14" s="72" customFormat="1" ht="13.5" x14ac:dyDescent="0.25">
      <c r="A59" s="83"/>
      <c r="B59" s="82" t="s">
        <v>436</v>
      </c>
      <c r="C59" s="82"/>
      <c r="D59" s="200">
        <f>D20</f>
        <v>2035282.014</v>
      </c>
      <c r="E59" s="200">
        <f t="shared" ref="E59:N59" si="15">E20</f>
        <v>2124548.7689999999</v>
      </c>
      <c r="F59" s="200">
        <f t="shared" si="15"/>
        <v>2981509.6170000001</v>
      </c>
      <c r="G59" s="200">
        <f t="shared" si="15"/>
        <v>2517322.4909999999</v>
      </c>
      <c r="H59" s="200">
        <f t="shared" si="15"/>
        <v>3356429.9879999999</v>
      </c>
      <c r="I59" s="200">
        <f t="shared" si="15"/>
        <v>160680.15899999999</v>
      </c>
      <c r="J59" s="200">
        <f t="shared" si="15"/>
        <v>249946.91400000002</v>
      </c>
      <c r="K59" s="200">
        <f>K20</f>
        <v>178533.51</v>
      </c>
      <c r="L59" s="200">
        <f t="shared" ref="L59:M59" si="16">L20</f>
        <v>267800.26500000001</v>
      </c>
      <c r="M59" s="200">
        <f t="shared" si="16"/>
        <v>357067.02</v>
      </c>
      <c r="N59" s="200">
        <f t="shared" si="15"/>
        <v>339213.66899999999</v>
      </c>
    </row>
    <row r="60" spans="1:14" s="72" customFormat="1" ht="15.75" x14ac:dyDescent="0.4">
      <c r="A60" s="82"/>
      <c r="B60" s="183" t="s">
        <v>107</v>
      </c>
      <c r="C60" s="183"/>
      <c r="D60" s="201">
        <f>D49</f>
        <v>57405697.225567542</v>
      </c>
      <c r="E60" s="201">
        <f t="shared" ref="E60:N60" si="17">E49</f>
        <v>66127316.774055175</v>
      </c>
      <c r="F60" s="201">
        <f t="shared" si="17"/>
        <v>81482793.805730179</v>
      </c>
      <c r="G60" s="201">
        <f t="shared" si="17"/>
        <v>66171869.114675</v>
      </c>
      <c r="H60" s="201">
        <f t="shared" si="17"/>
        <v>81477445.20900555</v>
      </c>
      <c r="I60" s="201">
        <f t="shared" si="17"/>
        <v>5239149.3889562497</v>
      </c>
      <c r="J60" s="201">
        <f t="shared" si="17"/>
        <v>6755793.8288093749</v>
      </c>
      <c r="K60" s="201">
        <f>K49</f>
        <v>5270229.2014562497</v>
      </c>
      <c r="L60" s="201">
        <f t="shared" ref="L60:M60" si="18">L49</f>
        <v>6786873.6413093749</v>
      </c>
      <c r="M60" s="201">
        <f t="shared" si="18"/>
        <v>7797317.3629625002</v>
      </c>
      <c r="N60" s="201">
        <f t="shared" si="17"/>
        <v>8272438.2686625002</v>
      </c>
    </row>
    <row r="61" spans="1:14" s="72" customFormat="1" ht="13.5" x14ac:dyDescent="0.25">
      <c r="A61" s="82"/>
      <c r="B61" s="78" t="s">
        <v>126</v>
      </c>
      <c r="C61" s="78"/>
      <c r="D61" s="204">
        <f>D20/D49</f>
        <v>3.5454355793339609E-2</v>
      </c>
      <c r="E61" s="204">
        <f t="shared" ref="E61:N61" si="19">E20/E49</f>
        <v>3.2128156299751139E-2</v>
      </c>
      <c r="F61" s="204">
        <f t="shared" si="19"/>
        <v>3.6590665068608988E-2</v>
      </c>
      <c r="G61" s="204">
        <f t="shared" si="19"/>
        <v>3.8042185065643414E-2</v>
      </c>
      <c r="H61" s="204">
        <f t="shared" si="19"/>
        <v>4.1194590470897831E-2</v>
      </c>
      <c r="I61" s="204">
        <f t="shared" si="19"/>
        <v>3.0669131011744427E-2</v>
      </c>
      <c r="J61" s="204">
        <f t="shared" si="19"/>
        <v>3.6997415897170753E-2</v>
      </c>
      <c r="K61" s="204">
        <f>K20/K49</f>
        <v>3.3875853056005288E-2</v>
      </c>
      <c r="L61" s="204">
        <f t="shared" ref="L61:M61" si="20">L20/L49</f>
        <v>3.9458560620606153E-2</v>
      </c>
      <c r="M61" s="204">
        <f t="shared" si="20"/>
        <v>4.5793572760816359E-2</v>
      </c>
      <c r="N61" s="204">
        <f t="shared" si="19"/>
        <v>4.1005282600294887E-2</v>
      </c>
    </row>
    <row r="62" spans="1:14" s="72" customFormat="1" ht="13.5" x14ac:dyDescent="0.25">
      <c r="A62" s="82"/>
      <c r="B62" s="85" t="s">
        <v>499</v>
      </c>
      <c r="C62" s="85"/>
      <c r="D62" s="403">
        <v>5.5E-2</v>
      </c>
      <c r="E62" s="403">
        <v>5.5E-2</v>
      </c>
      <c r="F62" s="403">
        <v>5.5E-2</v>
      </c>
      <c r="G62" s="403">
        <v>5.5E-2</v>
      </c>
      <c r="H62" s="403">
        <v>5.5E-2</v>
      </c>
      <c r="I62" s="403">
        <v>5.5E-2</v>
      </c>
      <c r="J62" s="403">
        <v>5.5E-2</v>
      </c>
      <c r="K62" s="403">
        <v>5.5E-2</v>
      </c>
      <c r="L62" s="403">
        <v>5.5E-2</v>
      </c>
      <c r="M62" s="204"/>
      <c r="N62" s="403">
        <v>5.5E-2</v>
      </c>
    </row>
    <row r="63" spans="1:14" s="72" customFormat="1" ht="13.5" x14ac:dyDescent="0.25">
      <c r="A63" s="102"/>
      <c r="B63" s="102"/>
      <c r="C63" s="102"/>
      <c r="D63" s="205"/>
      <c r="E63" s="205"/>
      <c r="F63" s="205"/>
      <c r="G63" s="205"/>
      <c r="H63" s="205"/>
      <c r="I63" s="205"/>
      <c r="J63" s="205"/>
      <c r="K63" s="205"/>
      <c r="L63" s="205"/>
      <c r="M63" s="205"/>
      <c r="N63" s="205"/>
    </row>
    <row r="64" spans="1:14" s="72" customFormat="1" ht="13.5" x14ac:dyDescent="0.25">
      <c r="A64" s="82"/>
      <c r="B64" s="82"/>
      <c r="C64" s="82"/>
      <c r="D64" s="182"/>
      <c r="E64" s="182"/>
      <c r="F64" s="182"/>
      <c r="G64" s="182"/>
      <c r="H64" s="182"/>
      <c r="I64" s="182"/>
      <c r="J64" s="182"/>
      <c r="K64" s="182"/>
      <c r="L64" s="182"/>
      <c r="M64" s="182"/>
      <c r="N64" s="182"/>
    </row>
    <row r="65" spans="1:24" s="72" customFormat="1" ht="13.5" x14ac:dyDescent="0.25">
      <c r="A65" s="82"/>
      <c r="B65" s="72" t="s">
        <v>435</v>
      </c>
      <c r="D65" s="206">
        <f t="shared" ref="D65:N65" si="21">D21-D49</f>
        <v>-9516708.6608616635</v>
      </c>
      <c r="E65" s="206">
        <f t="shared" si="21"/>
        <v>-16137933.974055186</v>
      </c>
      <c r="F65" s="206">
        <f t="shared" si="21"/>
        <v>-11329626.346906647</v>
      </c>
      <c r="G65" s="206">
        <f t="shared" si="21"/>
        <v>-6940751.6793808863</v>
      </c>
      <c r="H65" s="206">
        <f t="shared" si="21"/>
        <v>-2502621.9619467407</v>
      </c>
      <c r="I65" s="206">
        <f t="shared" si="21"/>
        <v>-1458439.7654268388</v>
      </c>
      <c r="J65" s="206">
        <f t="shared" si="21"/>
        <v>-874689.9699858455</v>
      </c>
      <c r="K65" s="206">
        <f>K21-K49</f>
        <v>-1069440.7308680145</v>
      </c>
      <c r="L65" s="206">
        <f>L21-L49</f>
        <v>-485690.93542702217</v>
      </c>
      <c r="M65" s="206">
        <f>M21-M49</f>
        <v>604259.57821397018</v>
      </c>
      <c r="N65" s="206">
        <f t="shared" si="21"/>
        <v>-290940.17454485409</v>
      </c>
    </row>
    <row r="66" spans="1:24" s="72" customFormat="1" ht="13.5" x14ac:dyDescent="0.25">
      <c r="A66" s="82"/>
      <c r="B66" s="72" t="s">
        <v>434</v>
      </c>
      <c r="D66" s="337">
        <f t="shared" ref="D66:N66" si="22">D65/D49</f>
        <v>-0.16577986368612696</v>
      </c>
      <c r="E66" s="337">
        <f t="shared" si="22"/>
        <v>-0.24404338118232627</v>
      </c>
      <c r="F66" s="337">
        <f t="shared" si="22"/>
        <v>-0.13904317485625911</v>
      </c>
      <c r="G66" s="337">
        <f t="shared" si="22"/>
        <v>-0.10488976316133149</v>
      </c>
      <c r="H66" s="337">
        <f t="shared" si="22"/>
        <v>-3.0715518331815964E-2</v>
      </c>
      <c r="I66" s="337">
        <f t="shared" si="22"/>
        <v>-0.27837338795895472</v>
      </c>
      <c r="J66" s="337">
        <f t="shared" si="22"/>
        <v>-0.12947256712539418</v>
      </c>
      <c r="K66" s="337">
        <f>K65/K49</f>
        <v>-0.20292110456458151</v>
      </c>
      <c r="L66" s="337">
        <f>L65/L49</f>
        <v>-7.1563279515149333E-2</v>
      </c>
      <c r="M66" s="337">
        <f>M65/M49</f>
        <v>7.7495829666267266E-2</v>
      </c>
      <c r="N66" s="337">
        <f t="shared" si="22"/>
        <v>-3.5169821169532128E-2</v>
      </c>
    </row>
    <row r="67" spans="1:24" s="72" customFormat="1" ht="13.5" x14ac:dyDescent="0.25">
      <c r="A67" s="82"/>
      <c r="D67" s="206"/>
      <c r="E67" s="206"/>
      <c r="F67" s="206"/>
      <c r="G67" s="206"/>
      <c r="H67" s="206"/>
      <c r="I67" s="206"/>
      <c r="J67" s="206"/>
      <c r="K67" s="206"/>
      <c r="L67" s="206"/>
      <c r="M67" s="206"/>
      <c r="N67" s="206"/>
    </row>
    <row r="68" spans="1:24" s="72" customFormat="1" ht="38.25" x14ac:dyDescent="0.25">
      <c r="A68" s="82"/>
      <c r="D68" s="338" t="s">
        <v>491</v>
      </c>
      <c r="E68" s="338" t="s">
        <v>492</v>
      </c>
      <c r="F68" s="338" t="s">
        <v>493</v>
      </c>
      <c r="G68" s="339" t="s">
        <v>494</v>
      </c>
      <c r="H68" s="339" t="s">
        <v>495</v>
      </c>
      <c r="I68" s="401" t="s">
        <v>496</v>
      </c>
      <c r="J68" s="391" t="s">
        <v>454</v>
      </c>
      <c r="K68" s="392" t="s">
        <v>456</v>
      </c>
      <c r="L68" s="402" t="s">
        <v>498</v>
      </c>
      <c r="M68" s="392" t="s">
        <v>458</v>
      </c>
      <c r="N68" s="401" t="s">
        <v>497</v>
      </c>
    </row>
    <row r="69" spans="1:24" s="72" customFormat="1" ht="13.5" x14ac:dyDescent="0.25">
      <c r="A69" s="82"/>
      <c r="B69" s="72" t="s">
        <v>365</v>
      </c>
      <c r="D69" s="342">
        <f t="shared" ref="D69:N69" si="23">ROUND(D30/D8,-3)</f>
        <v>42000</v>
      </c>
      <c r="E69" s="342">
        <f t="shared" si="23"/>
        <v>40000</v>
      </c>
      <c r="F69" s="342">
        <f t="shared" si="23"/>
        <v>29000</v>
      </c>
      <c r="G69" s="342">
        <f t="shared" si="23"/>
        <v>34000</v>
      </c>
      <c r="H69" s="342">
        <f t="shared" si="23"/>
        <v>25000</v>
      </c>
      <c r="I69" s="342">
        <f t="shared" si="23"/>
        <v>66000</v>
      </c>
      <c r="J69" s="342">
        <f t="shared" si="23"/>
        <v>43000</v>
      </c>
      <c r="K69" s="342">
        <f>ROUND(K30/K8,-3)</f>
        <v>60000</v>
      </c>
      <c r="L69" s="342">
        <f>ROUND(L30/L8,-3)</f>
        <v>40000</v>
      </c>
      <c r="M69" s="342">
        <f>ROUND(M30/M8,-3)</f>
        <v>30000</v>
      </c>
      <c r="N69" s="342">
        <f t="shared" si="23"/>
        <v>31000</v>
      </c>
    </row>
    <row r="70" spans="1:24" s="72" customFormat="1" ht="13.5" x14ac:dyDescent="0.25">
      <c r="A70" s="82"/>
      <c r="B70" s="72" t="s">
        <v>0</v>
      </c>
      <c r="D70" s="342">
        <f t="shared" ref="D70:N70" si="24">ROUND(D35/D8,-3)</f>
        <v>61000</v>
      </c>
      <c r="E70" s="342">
        <f t="shared" si="24"/>
        <v>106000</v>
      </c>
      <c r="F70" s="342">
        <f t="shared" si="24"/>
        <v>75000</v>
      </c>
      <c r="G70" s="342">
        <f t="shared" si="24"/>
        <v>91000</v>
      </c>
      <c r="H70" s="342">
        <f t="shared" si="24"/>
        <v>68000</v>
      </c>
      <c r="I70" s="342">
        <f t="shared" si="24"/>
        <v>91000</v>
      </c>
      <c r="J70" s="342">
        <f t="shared" si="24"/>
        <v>59000</v>
      </c>
      <c r="K70" s="342">
        <f>ROUND(K35/K8,-3)</f>
        <v>82000</v>
      </c>
      <c r="L70" s="342">
        <f>ROUND(L35/L8,-3)</f>
        <v>55000</v>
      </c>
      <c r="M70" s="342">
        <f>ROUND(M35/M8,-3)</f>
        <v>21000</v>
      </c>
      <c r="N70" s="342">
        <f t="shared" si="24"/>
        <v>43000</v>
      </c>
    </row>
    <row r="71" spans="1:24" s="207" customFormat="1" ht="13.5" x14ac:dyDescent="0.25">
      <c r="A71" s="83"/>
      <c r="B71" s="83" t="s">
        <v>438</v>
      </c>
      <c r="C71" s="83"/>
      <c r="D71" s="342">
        <f t="shared" ref="D71:N71" si="25">ROUND(D34/D8,-3)</f>
        <v>288000</v>
      </c>
      <c r="E71" s="342">
        <f t="shared" si="25"/>
        <v>287000</v>
      </c>
      <c r="F71" s="342">
        <f t="shared" si="25"/>
        <v>272000</v>
      </c>
      <c r="G71" s="342">
        <f t="shared" si="25"/>
        <v>236000</v>
      </c>
      <c r="H71" s="342">
        <f t="shared" si="25"/>
        <v>237000</v>
      </c>
      <c r="I71" s="342">
        <f t="shared" si="25"/>
        <v>301000</v>
      </c>
      <c r="J71" s="342">
        <f t="shared" si="25"/>
        <v>272000</v>
      </c>
      <c r="K71" s="342">
        <f>ROUND(K34/K8,-3)</f>
        <v>270000</v>
      </c>
      <c r="L71" s="342">
        <f>ROUND(L34/L8,-3)</f>
        <v>254000</v>
      </c>
      <c r="M71" s="342">
        <f>ROUND(M34/M8,-3)</f>
        <v>246000</v>
      </c>
      <c r="N71" s="342">
        <f t="shared" si="25"/>
        <v>259000</v>
      </c>
    </row>
    <row r="72" spans="1:24" s="72" customFormat="1" ht="13.5" x14ac:dyDescent="0.25">
      <c r="A72" s="83"/>
      <c r="B72" s="82" t="s">
        <v>25</v>
      </c>
      <c r="C72" s="82"/>
      <c r="D72" s="158">
        <f t="shared" ref="D72:N72" si="26">ROUND((D45+D47)/D8,-3)</f>
        <v>113000</v>
      </c>
      <c r="E72" s="158">
        <f t="shared" si="26"/>
        <v>123000</v>
      </c>
      <c r="F72" s="158">
        <f t="shared" si="26"/>
        <v>112000</v>
      </c>
      <c r="G72" s="158">
        <f t="shared" si="26"/>
        <v>108000</v>
      </c>
      <c r="H72" s="158">
        <f t="shared" si="26"/>
        <v>103000</v>
      </c>
      <c r="I72" s="158">
        <f t="shared" si="26"/>
        <v>124000</v>
      </c>
      <c r="J72" s="158">
        <f t="shared" si="26"/>
        <v>109000</v>
      </c>
      <c r="K72" s="158">
        <f>ROUND((K45+K47)/K8,-3)</f>
        <v>115000</v>
      </c>
      <c r="L72" s="158">
        <f>ROUND((L45+L47)/L8,-3)</f>
        <v>104000</v>
      </c>
      <c r="M72" s="158">
        <f>ROUND((M45+M47)/M8,-3)</f>
        <v>94000</v>
      </c>
      <c r="N72" s="158">
        <f t="shared" si="26"/>
        <v>102000</v>
      </c>
    </row>
    <row r="73" spans="1:24" s="207" customFormat="1" ht="13.5" x14ac:dyDescent="0.25">
      <c r="A73" s="83"/>
      <c r="B73" s="72" t="s">
        <v>505</v>
      </c>
      <c r="C73" s="72"/>
      <c r="D73" s="158">
        <f>ROUND(SUM(D69:D72),-3)</f>
        <v>504000</v>
      </c>
      <c r="E73" s="158">
        <f t="shared" ref="E73:H73" si="27">SUM(E69:E72)</f>
        <v>556000</v>
      </c>
      <c r="F73" s="158">
        <f t="shared" si="27"/>
        <v>488000</v>
      </c>
      <c r="G73" s="158">
        <f t="shared" si="27"/>
        <v>469000</v>
      </c>
      <c r="H73" s="158">
        <f t="shared" si="27"/>
        <v>433000</v>
      </c>
      <c r="I73" s="158">
        <f t="shared" ref="I73:N73" si="28">SUM(I69:I72)</f>
        <v>582000</v>
      </c>
      <c r="J73" s="158">
        <f t="shared" si="28"/>
        <v>483000</v>
      </c>
      <c r="K73" s="158">
        <f>SUM(K69:K72)</f>
        <v>527000</v>
      </c>
      <c r="L73" s="158">
        <f t="shared" ref="L73:M73" si="29">SUM(L69:L72)</f>
        <v>453000</v>
      </c>
      <c r="M73" s="158">
        <f t="shared" si="29"/>
        <v>391000</v>
      </c>
      <c r="N73" s="158">
        <f t="shared" si="28"/>
        <v>435000</v>
      </c>
    </row>
    <row r="74" spans="1:24" s="207" customFormat="1" ht="13.5" x14ac:dyDescent="0.25">
      <c r="A74" s="83"/>
      <c r="B74" s="72"/>
      <c r="C74" s="72"/>
      <c r="D74" s="158"/>
      <c r="E74" s="158"/>
      <c r="F74" s="158"/>
      <c r="G74" s="158"/>
      <c r="H74" s="158"/>
      <c r="I74" s="158"/>
      <c r="J74" s="158"/>
      <c r="K74" s="158"/>
      <c r="L74" s="158"/>
      <c r="M74" s="158"/>
      <c r="N74" s="158"/>
    </row>
    <row r="75" spans="1:24" s="207" customFormat="1" ht="13.5" x14ac:dyDescent="0.25">
      <c r="A75" s="83"/>
      <c r="B75" s="343" t="s">
        <v>506</v>
      </c>
      <c r="C75" s="343"/>
      <c r="D75" s="342">
        <f>'Pro Forma'!E73</f>
        <v>471000</v>
      </c>
      <c r="E75" s="342">
        <f>'Pro Forma'!F73</f>
        <v>496000</v>
      </c>
      <c r="F75" s="342">
        <f>'Pro Forma'!G73</f>
        <v>447000</v>
      </c>
      <c r="G75" s="342">
        <f>'Pro Forma'!H73</f>
        <v>418000</v>
      </c>
      <c r="H75" s="342">
        <f>'Pro Forma'!I73</f>
        <v>395000</v>
      </c>
      <c r="I75" s="344"/>
    </row>
    <row r="76" spans="1:24" s="207" customFormat="1" ht="15.75" x14ac:dyDescent="0.4">
      <c r="A76" s="83"/>
      <c r="B76" s="345" t="s">
        <v>500</v>
      </c>
      <c r="C76" s="345"/>
      <c r="D76" s="410">
        <f>(D73-D75)/D75</f>
        <v>7.0063694267515922E-2</v>
      </c>
      <c r="E76" s="410">
        <f t="shared" ref="E76:F76" si="30">(E73-E75)/E75</f>
        <v>0.12096774193548387</v>
      </c>
      <c r="F76" s="410">
        <f t="shared" si="30"/>
        <v>9.1722595078299773E-2</v>
      </c>
      <c r="G76" s="410">
        <f>(G73-G75)/G75</f>
        <v>0.12200956937799043</v>
      </c>
      <c r="H76" s="410">
        <f>(H73-H75)/H75</f>
        <v>9.6202531645569619E-2</v>
      </c>
      <c r="I76" s="410"/>
    </row>
    <row r="77" spans="1:24" s="207" customFormat="1" ht="13.5" x14ac:dyDescent="0.25">
      <c r="A77" s="109"/>
      <c r="B77" s="394" t="s">
        <v>488</v>
      </c>
      <c r="C77" s="394"/>
      <c r="D77" s="395"/>
      <c r="E77" s="395"/>
      <c r="F77" s="396"/>
      <c r="G77" s="396"/>
      <c r="H77" s="396"/>
      <c r="I77" s="396"/>
      <c r="J77" s="210"/>
      <c r="K77" s="210"/>
      <c r="L77" s="210"/>
      <c r="N77" s="210"/>
    </row>
    <row r="78" spans="1:24" s="207" customFormat="1" ht="13.5" x14ac:dyDescent="0.25">
      <c r="A78" s="83"/>
      <c r="B78" s="347"/>
      <c r="C78" s="347"/>
      <c r="D78" s="348"/>
      <c r="E78" s="348"/>
      <c r="F78" s="348"/>
      <c r="G78" s="348"/>
      <c r="H78" s="348"/>
      <c r="I78" s="348"/>
    </row>
    <row r="79" spans="1:24" s="207" customFormat="1" ht="13.5" x14ac:dyDescent="0.25">
      <c r="A79" s="83"/>
      <c r="D79" s="349"/>
      <c r="F79" s="349"/>
      <c r="G79" s="349"/>
      <c r="H79" s="349"/>
      <c r="I79" s="349"/>
    </row>
    <row r="80" spans="1:24" s="72" customFormat="1" ht="13.5" x14ac:dyDescent="0.25">
      <c r="A80" s="82"/>
      <c r="D80" s="206"/>
      <c r="E80" s="206"/>
      <c r="F80" s="206"/>
      <c r="G80" s="206"/>
      <c r="H80" s="206"/>
      <c r="I80" s="206"/>
      <c r="U80" s="207"/>
      <c r="V80" s="66"/>
      <c r="W80" s="207"/>
      <c r="X80" s="207"/>
    </row>
    <row r="81" spans="1:24" s="72" customFormat="1" ht="13.5" x14ac:dyDescent="0.25">
      <c r="A81" s="82"/>
      <c r="D81" s="208"/>
      <c r="E81" s="208"/>
      <c r="F81" s="208"/>
      <c r="G81" s="208"/>
      <c r="H81" s="208"/>
      <c r="I81" s="208"/>
      <c r="U81" s="207"/>
      <c r="V81" s="409"/>
      <c r="W81" s="207"/>
      <c r="X81" s="207"/>
    </row>
    <row r="82" spans="1:24" ht="15.75" x14ac:dyDescent="0.25">
      <c r="H82" s="350"/>
      <c r="U82" s="66"/>
      <c r="V82" s="66"/>
      <c r="W82" s="66"/>
      <c r="X82" s="66"/>
    </row>
    <row r="83" spans="1:24" x14ac:dyDescent="0.25">
      <c r="U83" s="66"/>
      <c r="V83" s="66"/>
      <c r="W83" s="66"/>
      <c r="X83" s="66"/>
    </row>
    <row r="84" spans="1:24" x14ac:dyDescent="0.25">
      <c r="U84" s="66"/>
      <c r="V84" s="66"/>
      <c r="W84" s="66"/>
      <c r="X84" s="66"/>
    </row>
    <row r="85" spans="1:24" x14ac:dyDescent="0.25">
      <c r="U85" s="66"/>
      <c r="V85" s="66"/>
      <c r="W85" s="66"/>
      <c r="X85" s="66"/>
    </row>
    <row r="86" spans="1:24" x14ac:dyDescent="0.25">
      <c r="U86" s="66"/>
      <c r="V86" s="66"/>
      <c r="W86" s="66"/>
      <c r="X86" s="66"/>
    </row>
    <row r="87" spans="1:24" x14ac:dyDescent="0.25">
      <c r="U87" s="66"/>
      <c r="V87" s="66"/>
      <c r="W87" s="66"/>
      <c r="X87" s="66"/>
    </row>
    <row r="88" spans="1:24" x14ac:dyDescent="0.25">
      <c r="U88" s="66"/>
      <c r="V88" s="66"/>
      <c r="W88" s="66"/>
      <c r="X88" s="66"/>
    </row>
    <row r="111" spans="19:21" x14ac:dyDescent="0.25">
      <c r="S111" s="66"/>
      <c r="T111" s="66"/>
      <c r="U111" s="66"/>
    </row>
    <row r="112" spans="19:21" x14ac:dyDescent="0.25">
      <c r="S112" s="66"/>
      <c r="T112" s="66"/>
      <c r="U112" s="66"/>
    </row>
    <row r="113" spans="19:21" x14ac:dyDescent="0.25">
      <c r="S113" s="66"/>
      <c r="T113" s="66"/>
      <c r="U113" s="66"/>
    </row>
    <row r="114" spans="19:21" x14ac:dyDescent="0.25">
      <c r="S114" s="66"/>
      <c r="T114" s="66"/>
      <c r="U114" s="66"/>
    </row>
    <row r="115" spans="19:21" x14ac:dyDescent="0.25">
      <c r="S115" s="66"/>
      <c r="T115" s="66"/>
      <c r="U115" s="66"/>
    </row>
    <row r="116" spans="19:21" x14ac:dyDescent="0.25">
      <c r="S116" s="66"/>
      <c r="T116" s="408"/>
      <c r="U116" s="66"/>
    </row>
    <row r="117" spans="19:21" x14ac:dyDescent="0.25">
      <c r="S117" s="66"/>
      <c r="T117" s="66"/>
      <c r="U117" s="66"/>
    </row>
    <row r="118" spans="19:21" x14ac:dyDescent="0.25">
      <c r="S118" s="66"/>
      <c r="T118" s="66"/>
      <c r="U118" s="66"/>
    </row>
    <row r="119" spans="19:21" x14ac:dyDescent="0.25">
      <c r="S119" s="66"/>
      <c r="T119" s="66"/>
      <c r="U119" s="66"/>
    </row>
    <row r="120" spans="19:21" x14ac:dyDescent="0.25">
      <c r="S120" s="66"/>
      <c r="T120" s="66"/>
      <c r="U120" s="66"/>
    </row>
    <row r="121" spans="19:21" x14ac:dyDescent="0.25">
      <c r="S121" s="66"/>
      <c r="T121" s="66"/>
      <c r="U121" s="66"/>
    </row>
    <row r="122" spans="19:21" x14ac:dyDescent="0.25">
      <c r="S122" s="66"/>
      <c r="T122" s="66"/>
      <c r="U122" s="66"/>
    </row>
    <row r="123" spans="19:21" x14ac:dyDescent="0.25">
      <c r="S123" s="66"/>
      <c r="T123" s="66"/>
      <c r="U123" s="66"/>
    </row>
    <row r="124" spans="19:21" x14ac:dyDescent="0.25">
      <c r="S124" s="66"/>
      <c r="T124" s="66"/>
      <c r="U124" s="66"/>
    </row>
    <row r="150" spans="1:22" ht="13.5" x14ac:dyDescent="0.25">
      <c r="A150" s="109"/>
      <c r="B150" s="394" t="s">
        <v>489</v>
      </c>
      <c r="C150" s="394"/>
      <c r="D150" s="395"/>
      <c r="E150" s="395"/>
      <c r="F150" s="396"/>
      <c r="G150" s="396"/>
      <c r="H150" s="396"/>
      <c r="I150" s="396"/>
      <c r="J150" s="210"/>
      <c r="K150" s="210"/>
      <c r="L150" s="210"/>
      <c r="N150" s="210"/>
      <c r="S150" s="66"/>
      <c r="T150" s="66"/>
      <c r="U150" s="66"/>
      <c r="V150" s="66"/>
    </row>
    <row r="151" spans="1:22" x14ac:dyDescent="0.25">
      <c r="S151" s="66"/>
      <c r="T151" s="66"/>
      <c r="U151" s="66"/>
      <c r="V151" s="66"/>
    </row>
    <row r="152" spans="1:22" x14ac:dyDescent="0.25">
      <c r="S152" s="66"/>
      <c r="T152" s="66"/>
      <c r="U152" s="66"/>
      <c r="V152" s="66"/>
    </row>
    <row r="153" spans="1:22" x14ac:dyDescent="0.25">
      <c r="S153" s="66"/>
      <c r="T153" s="66"/>
      <c r="U153" s="66"/>
      <c r="V153" s="66"/>
    </row>
    <row r="154" spans="1:22" x14ac:dyDescent="0.25">
      <c r="S154" s="66"/>
      <c r="T154" s="408"/>
      <c r="U154" s="66"/>
      <c r="V154" s="66"/>
    </row>
    <row r="155" spans="1:22" x14ac:dyDescent="0.25">
      <c r="S155" s="66"/>
      <c r="T155" s="66"/>
      <c r="U155" s="66"/>
      <c r="V155" s="66"/>
    </row>
    <row r="156" spans="1:22" x14ac:dyDescent="0.25">
      <c r="S156" s="66"/>
      <c r="T156" s="66"/>
      <c r="U156" s="66"/>
      <c r="V156" s="66"/>
    </row>
    <row r="157" spans="1:22" x14ac:dyDescent="0.25">
      <c r="S157" s="66"/>
      <c r="T157" s="66"/>
      <c r="U157" s="66"/>
      <c r="V157" s="66"/>
    </row>
    <row r="158" spans="1:22" x14ac:dyDescent="0.25">
      <c r="S158" s="66"/>
      <c r="T158" s="66"/>
      <c r="U158" s="66"/>
      <c r="V158" s="66"/>
    </row>
    <row r="159" spans="1:22" x14ac:dyDescent="0.25">
      <c r="S159" s="66"/>
      <c r="T159" s="66"/>
      <c r="U159" s="66"/>
      <c r="V159" s="66"/>
    </row>
    <row r="160" spans="1:22" x14ac:dyDescent="0.25">
      <c r="S160" s="66"/>
      <c r="T160" s="66"/>
      <c r="U160" s="66"/>
      <c r="V160" s="66"/>
    </row>
    <row r="161" spans="19:22" x14ac:dyDescent="0.25">
      <c r="S161" s="66"/>
      <c r="T161" s="66"/>
      <c r="U161" s="66"/>
      <c r="V161" s="66"/>
    </row>
    <row r="162" spans="19:22" x14ac:dyDescent="0.25">
      <c r="S162" s="66"/>
      <c r="T162" s="66"/>
      <c r="U162" s="66"/>
      <c r="V162" s="66"/>
    </row>
  </sheetData>
  <sheetProtection algorithmName="SHA-512" hashValue="xumipu/wsjXInrDoQWveQFBYxpDBTK8+qoSqupExldXDpetBbHZd+vTQJfkGjtZBgPKcHDgpAhBJPSK39DhAvA==" saltValue="+D9m22X9BwVdseOKo8pFNA==" spinCount="100000" sheet="1" objects="1" scenarios="1"/>
  <mergeCells count="2">
    <mergeCell ref="D2:F2"/>
    <mergeCell ref="G2:H2"/>
  </mergeCells>
  <conditionalFormatting sqref="M62 D61:N61">
    <cfRule type="cellIs" dxfId="0" priority="1" operator="greaterThanOrEqual">
      <formula>0.055</formula>
    </cfRule>
  </conditionalFormatting>
  <pageMargins left="0.7" right="0.7" top="0.75" bottom="0.75" header="0.3" footer="0.3"/>
  <pageSetup scale="8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8" tint="-0.249977111117893"/>
    <pageSetUpPr fitToPage="1"/>
  </sheetPr>
  <dimension ref="A1:AB53"/>
  <sheetViews>
    <sheetView topLeftCell="A4" workbookViewId="0">
      <selection activeCell="B44" sqref="B44"/>
    </sheetView>
  </sheetViews>
  <sheetFormatPr defaultColWidth="9" defaultRowHeight="12.75" x14ac:dyDescent="0.25"/>
  <cols>
    <col min="1" max="1" width="1.85546875" style="57" customWidth="1"/>
    <col min="2" max="3" width="31.140625" style="57" customWidth="1"/>
    <col min="4" max="8" width="27.42578125" style="60" customWidth="1"/>
    <col min="9" max="14" width="20" style="60" customWidth="1"/>
    <col min="15" max="16" width="27.42578125" style="60" customWidth="1"/>
    <col min="17" max="17" width="27.42578125" style="57" customWidth="1"/>
    <col min="18" max="18" width="8.85546875" style="57" customWidth="1"/>
    <col min="19" max="19" width="7.140625" style="57" customWidth="1"/>
    <col min="20" max="23" width="8.5703125" style="57" customWidth="1"/>
    <col min="24" max="16384" width="9" style="57"/>
  </cols>
  <sheetData>
    <row r="1" spans="1:26" ht="15.75" x14ac:dyDescent="0.3">
      <c r="A1" s="69" t="s">
        <v>301</v>
      </c>
    </row>
    <row r="2" spans="1:26" s="72" customFormat="1" ht="13.5" x14ac:dyDescent="0.25">
      <c r="C2" s="752" t="s">
        <v>302</v>
      </c>
      <c r="D2" s="752"/>
      <c r="E2" s="752"/>
      <c r="F2" s="752"/>
      <c r="G2" s="749" t="s">
        <v>303</v>
      </c>
      <c r="H2" s="749"/>
      <c r="I2" s="750" t="s">
        <v>453</v>
      </c>
      <c r="J2" s="750"/>
      <c r="K2" s="750"/>
      <c r="L2" s="751" t="s">
        <v>459</v>
      </c>
      <c r="M2" s="751"/>
      <c r="N2" s="751"/>
      <c r="O2" s="753" t="s">
        <v>570</v>
      </c>
      <c r="P2" s="753"/>
    </row>
    <row r="3" spans="1:26" s="72" customFormat="1" ht="13.5" x14ac:dyDescent="0.25">
      <c r="C3" s="303" t="s">
        <v>508</v>
      </c>
      <c r="D3" s="529" t="s">
        <v>507</v>
      </c>
      <c r="E3" s="303" t="s">
        <v>286</v>
      </c>
      <c r="F3" s="529" t="s">
        <v>287</v>
      </c>
      <c r="G3" s="304" t="s">
        <v>288</v>
      </c>
      <c r="H3" s="304" t="s">
        <v>289</v>
      </c>
      <c r="I3" s="389" t="s">
        <v>452</v>
      </c>
      <c r="J3" s="389" t="s">
        <v>454</v>
      </c>
      <c r="K3" s="389" t="s">
        <v>455</v>
      </c>
      <c r="L3" s="390" t="s">
        <v>456</v>
      </c>
      <c r="M3" s="390" t="s">
        <v>457</v>
      </c>
      <c r="N3" s="390" t="s">
        <v>458</v>
      </c>
      <c r="O3" s="244" t="s">
        <v>577</v>
      </c>
      <c r="P3" s="244" t="s">
        <v>578</v>
      </c>
      <c r="Q3" s="74"/>
    </row>
    <row r="4" spans="1:26" s="72" customFormat="1" ht="13.5" x14ac:dyDescent="0.25">
      <c r="A4" s="75"/>
      <c r="B4" s="76" t="s">
        <v>130</v>
      </c>
      <c r="C4" s="73" t="str">
        <f>'Test Fit Large Site Summary'!C4</f>
        <v>1 level P 3 stories</v>
      </c>
      <c r="D4" s="73" t="s">
        <v>144</v>
      </c>
      <c r="E4" s="73" t="s">
        <v>215</v>
      </c>
      <c r="F4" s="73" t="s">
        <v>216</v>
      </c>
      <c r="G4" s="73" t="s">
        <v>226</v>
      </c>
      <c r="H4" s="73" t="s">
        <v>227</v>
      </c>
      <c r="I4" s="73" t="s">
        <v>460</v>
      </c>
      <c r="J4" s="73" t="s">
        <v>461</v>
      </c>
      <c r="K4" s="73" t="s">
        <v>462</v>
      </c>
      <c r="L4" s="73" t="s">
        <v>463</v>
      </c>
      <c r="M4" s="73" t="s">
        <v>464</v>
      </c>
      <c r="N4" s="73" t="s">
        <v>465</v>
      </c>
      <c r="O4" s="73" t="s">
        <v>575</v>
      </c>
      <c r="P4" s="73" t="s">
        <v>576</v>
      </c>
    </row>
    <row r="5" spans="1:26" s="72" customFormat="1" ht="13.5" x14ac:dyDescent="0.25">
      <c r="B5" s="78"/>
      <c r="C5" s="78"/>
      <c r="D5" s="79"/>
      <c r="E5" s="79"/>
      <c r="F5" s="79"/>
      <c r="G5" s="79"/>
      <c r="H5" s="79"/>
      <c r="I5" s="79"/>
      <c r="J5" s="79"/>
      <c r="K5" s="79"/>
      <c r="L5" s="79"/>
      <c r="M5" s="79"/>
      <c r="N5" s="79"/>
      <c r="O5" s="79"/>
      <c r="P5" s="79"/>
      <c r="Q5" s="80"/>
      <c r="R5" s="80"/>
      <c r="S5" s="80"/>
      <c r="T5" s="80"/>
      <c r="X5" s="81"/>
      <c r="Y5" s="81"/>
      <c r="Z5" s="81"/>
    </row>
    <row r="6" spans="1:26" s="72" customFormat="1" ht="13.5" x14ac:dyDescent="0.25">
      <c r="A6" s="82"/>
      <c r="B6" s="83" t="s">
        <v>39</v>
      </c>
      <c r="C6" s="84">
        <f>'Test Fit Large Site Summary'!C6</f>
        <v>1.29</v>
      </c>
      <c r="D6" s="84">
        <v>1.29</v>
      </c>
      <c r="E6" s="84">
        <v>1.29</v>
      </c>
      <c r="F6" s="84">
        <v>1.29</v>
      </c>
      <c r="G6" s="84">
        <v>1.29</v>
      </c>
      <c r="H6" s="84">
        <v>1.29</v>
      </c>
      <c r="I6" s="84">
        <f>'Small Site Test Fits'!$D$7</f>
        <v>0.16090449954086317</v>
      </c>
      <c r="J6" s="84">
        <f>'Small Site Test Fits'!$D$7</f>
        <v>0.16090449954086317</v>
      </c>
      <c r="K6" s="84">
        <f>'Small Site Test Fits'!$D$7</f>
        <v>0.16090449954086317</v>
      </c>
      <c r="L6" s="84">
        <f>'Small Site Test Fits'!$D$7</f>
        <v>0.16090449954086317</v>
      </c>
      <c r="M6" s="84">
        <f>'Small Site Test Fits'!$D$7</f>
        <v>0.16090449954086317</v>
      </c>
      <c r="N6" s="84">
        <f>'Small Site Test Fits'!$D$7</f>
        <v>0.16090449954086317</v>
      </c>
      <c r="O6" s="84">
        <f>'RL ZONE'!D3</f>
        <v>0.13200183654729108</v>
      </c>
      <c r="P6" s="84">
        <f>'RL ZONE'!D3</f>
        <v>0.13200183654729108</v>
      </c>
      <c r="Q6" s="85"/>
      <c r="R6" s="85"/>
      <c r="S6" s="85"/>
      <c r="T6" s="85"/>
    </row>
    <row r="7" spans="1:26" s="72" customFormat="1" ht="13.5" x14ac:dyDescent="0.25">
      <c r="A7" s="82"/>
      <c r="B7" s="83" t="s">
        <v>72</v>
      </c>
      <c r="C7" s="86">
        <f>'Test Fit Large Site Summary'!C7</f>
        <v>56192.4</v>
      </c>
      <c r="D7" s="86">
        <f>D6*43560</f>
        <v>56192.4</v>
      </c>
      <c r="E7" s="86">
        <f>E6*43560</f>
        <v>56192.4</v>
      </c>
      <c r="F7" s="86">
        <f>F6*43560</f>
        <v>56192.4</v>
      </c>
      <c r="G7" s="86">
        <f>G6*43560</f>
        <v>56192.4</v>
      </c>
      <c r="H7" s="86">
        <f>H6*43560</f>
        <v>56192.4</v>
      </c>
      <c r="I7" s="86">
        <f>$I$6*43560</f>
        <v>7008.9999999999991</v>
      </c>
      <c r="J7" s="86">
        <f t="shared" ref="J7:N7" si="0">$I$6*43560</f>
        <v>7008.9999999999991</v>
      </c>
      <c r="K7" s="86">
        <f t="shared" si="0"/>
        <v>7008.9999999999991</v>
      </c>
      <c r="L7" s="86">
        <f t="shared" si="0"/>
        <v>7008.9999999999991</v>
      </c>
      <c r="M7" s="86">
        <f t="shared" si="0"/>
        <v>7008.9999999999991</v>
      </c>
      <c r="N7" s="86">
        <f t="shared" si="0"/>
        <v>7008.9999999999991</v>
      </c>
      <c r="O7" s="86">
        <f>O6*43560</f>
        <v>5750</v>
      </c>
      <c r="P7" s="86">
        <f>P6*43560</f>
        <v>5750</v>
      </c>
      <c r="Q7" s="85"/>
      <c r="R7" s="85"/>
      <c r="S7" s="85"/>
      <c r="T7" s="85"/>
      <c r="X7" s="81"/>
    </row>
    <row r="8" spans="1:26" s="72" customFormat="1" ht="13.5" x14ac:dyDescent="0.25">
      <c r="A8" s="82"/>
      <c r="B8" s="83" t="s">
        <v>143</v>
      </c>
      <c r="C8" s="245">
        <f>'Test Fit Large Site Summary'!C8</f>
        <v>3</v>
      </c>
      <c r="D8" s="245">
        <v>4</v>
      </c>
      <c r="E8" s="245">
        <v>4</v>
      </c>
      <c r="F8" s="245">
        <v>5</v>
      </c>
      <c r="G8" s="245">
        <v>4</v>
      </c>
      <c r="H8" s="245">
        <v>5</v>
      </c>
      <c r="I8" s="245">
        <v>3</v>
      </c>
      <c r="J8" s="245">
        <v>4</v>
      </c>
      <c r="K8" s="245">
        <v>5</v>
      </c>
      <c r="L8" s="245">
        <v>3</v>
      </c>
      <c r="M8" s="245">
        <v>4</v>
      </c>
      <c r="N8" s="245">
        <v>5</v>
      </c>
      <c r="O8" s="245">
        <v>3</v>
      </c>
      <c r="P8" s="245">
        <v>3</v>
      </c>
      <c r="Q8" s="85"/>
      <c r="R8" s="85"/>
      <c r="S8" s="85"/>
      <c r="T8" s="85"/>
    </row>
    <row r="9" spans="1:26" s="72" customFormat="1" ht="13.5" x14ac:dyDescent="0.25">
      <c r="A9" s="82"/>
      <c r="B9" s="83" t="s">
        <v>93</v>
      </c>
      <c r="C9" s="86">
        <f>'Test Fit Large Site Summary'!C9</f>
        <v>137906.64050000001</v>
      </c>
      <c r="D9" s="86">
        <f>'MXDH-Large Test Fit'!C32+'MXDH-Large Test Fit'!D32+'MXDH-Large Test Fit'!F32</f>
        <v>153906.64050000001</v>
      </c>
      <c r="E9" s="86">
        <f>'MXDH-Large Test Fit'!L26+'MXDH-Large Test Fit'!M26+'MXDH-Large Test Fit'!O26</f>
        <v>194792.64050000001</v>
      </c>
      <c r="F9" s="86">
        <f>SUM('MXDH-Large Test Fit'!L33,'MXDH-Large Test Fit'!M33,'MXDH-Large Test Fit'!O33)</f>
        <v>235744.64050000001</v>
      </c>
      <c r="G9" s="86">
        <f>'MXDH-Large Test Fit'!AC26+'MXDH-Large Test Fit'!AE26</f>
        <v>193432</v>
      </c>
      <c r="H9" s="86">
        <f>'MXDH-Large Test Fit'!AC33+'MXDH-Large Test Fit'!AE33</f>
        <v>234384</v>
      </c>
      <c r="I9" s="86">
        <f>'Small Site Test Fits'!C29+'Small Site Test Fits'!D29+'Small Site Test Fits'!F29</f>
        <v>13948</v>
      </c>
      <c r="J9" s="86">
        <f>'Small Site Test Fits'!C32+'Small Site Test Fits'!D32+'Small Site Test Fits'!F32</f>
        <v>17969</v>
      </c>
      <c r="K9" s="86">
        <f>'Small Site Test Fits'!C35+'Small Site Test Fits'!D35+'Small Site Test Fits'!F35</f>
        <v>21990</v>
      </c>
      <c r="L9" s="86">
        <f>'Small Site Test Fits'!M29+'Small Site Test Fits'!O29</f>
        <v>13948</v>
      </c>
      <c r="M9" s="86">
        <f>'Small Site Test Fits'!M32+'Small Site Test Fits'!O32</f>
        <v>17969</v>
      </c>
      <c r="N9" s="86">
        <f>'Small Site Test Fits'!M35+'Small Site Test Fits'!O35</f>
        <v>21990</v>
      </c>
      <c r="O9" s="245">
        <f>'RL ZONE'!C22+'RL ZONE'!E22</f>
        <v>5412</v>
      </c>
      <c r="P9" s="245">
        <f>'RL ZONE'!U22+'RL ZONE'!W22</f>
        <v>5760</v>
      </c>
      <c r="Q9" s="85"/>
      <c r="R9" s="85"/>
      <c r="S9" s="85"/>
      <c r="T9" s="85"/>
    </row>
    <row r="10" spans="1:26" s="72" customFormat="1" ht="13.5" x14ac:dyDescent="0.25">
      <c r="A10" s="82"/>
      <c r="B10" s="83" t="s">
        <v>105</v>
      </c>
      <c r="C10" s="87">
        <f>'Test Fit Large Site Summary'!C10</f>
        <v>0.75</v>
      </c>
      <c r="D10" s="87">
        <v>0.75</v>
      </c>
      <c r="E10" s="87">
        <v>0.75</v>
      </c>
      <c r="F10" s="87">
        <v>0.75</v>
      </c>
      <c r="G10" s="87">
        <v>0.75</v>
      </c>
      <c r="H10" s="87">
        <v>0.75</v>
      </c>
      <c r="I10" s="87">
        <v>0.75</v>
      </c>
      <c r="J10" s="87">
        <v>0.75</v>
      </c>
      <c r="K10" s="87">
        <v>0.75</v>
      </c>
      <c r="L10" s="87">
        <v>0.75</v>
      </c>
      <c r="M10" s="87">
        <v>0.75</v>
      </c>
      <c r="N10" s="87">
        <v>0.75</v>
      </c>
      <c r="O10" s="87">
        <v>0.75</v>
      </c>
      <c r="P10" s="87">
        <v>0.75</v>
      </c>
      <c r="Q10" s="85"/>
      <c r="R10" s="85"/>
      <c r="S10" s="85"/>
      <c r="T10" s="85"/>
    </row>
    <row r="11" spans="1:26" s="72" customFormat="1" ht="13.5" x14ac:dyDescent="0.25">
      <c r="A11" s="82"/>
      <c r="B11" s="83" t="s">
        <v>94</v>
      </c>
      <c r="C11" s="86">
        <f>C16*C17</f>
        <v>61428</v>
      </c>
      <c r="D11" s="86">
        <f>D16*D17</f>
        <v>73530</v>
      </c>
      <c r="E11" s="86">
        <f>E16*E17</f>
        <v>76755</v>
      </c>
      <c r="F11" s="86">
        <f>F16*F17</f>
        <v>107715</v>
      </c>
      <c r="G11" s="86">
        <f t="shared" ref="G11:P11" si="1">G16*G17</f>
        <v>90945</v>
      </c>
      <c r="H11" s="86">
        <f t="shared" si="1"/>
        <v>121260</v>
      </c>
      <c r="I11" s="86">
        <f t="shared" si="1"/>
        <v>5805</v>
      </c>
      <c r="J11" s="86">
        <f t="shared" si="1"/>
        <v>9030</v>
      </c>
      <c r="K11" s="86">
        <f t="shared" si="1"/>
        <v>12255</v>
      </c>
      <c r="L11" s="86">
        <f t="shared" si="1"/>
        <v>6450</v>
      </c>
      <c r="M11" s="86">
        <f t="shared" si="1"/>
        <v>9675</v>
      </c>
      <c r="N11" s="86">
        <f t="shared" si="1"/>
        <v>12900</v>
      </c>
      <c r="O11" s="86">
        <f t="shared" si="1"/>
        <v>4149</v>
      </c>
      <c r="P11" s="86">
        <f t="shared" si="1"/>
        <v>4320</v>
      </c>
      <c r="Q11" s="85"/>
      <c r="R11" s="85"/>
      <c r="S11" s="85"/>
      <c r="T11" s="85"/>
    </row>
    <row r="12" spans="1:26" s="72" customFormat="1" ht="13.5" x14ac:dyDescent="0.25">
      <c r="A12" s="82"/>
      <c r="B12" s="83" t="s">
        <v>1</v>
      </c>
      <c r="C12" s="84">
        <f>'MXDH-Large Test Fit'!H25</f>
        <v>2.4625306328345418</v>
      </c>
      <c r="D12" s="84">
        <f>'MXDH-Large Test Fit'!H32</f>
        <v>2.7482347148316135</v>
      </c>
      <c r="E12" s="84">
        <f>'MXDH-Large Test Fit'!Q26</f>
        <v>3.4783157833648799</v>
      </c>
      <c r="F12" s="84">
        <f>'MXDH-Large Test Fit'!Q33</f>
        <v>4.2095753812363848</v>
      </c>
      <c r="G12" s="84">
        <f>'MXDH-Large Test Fit'!AG26</f>
        <v>3.4540194993035964</v>
      </c>
      <c r="H12" s="84">
        <f>'MXDH-Large Test Fit'!AG33</f>
        <v>4.1852790971751013</v>
      </c>
      <c r="I12" s="84">
        <f>'Small Site Test Fits'!H29</f>
        <v>1.9900128406334712</v>
      </c>
      <c r="J12" s="84">
        <f>'Small Site Test Fits'!H32</f>
        <v>2.5637038093879299</v>
      </c>
      <c r="K12" s="84">
        <f>'Small Site Test Fits'!H35</f>
        <v>3.1373947781423883</v>
      </c>
      <c r="L12" s="84">
        <f>'Small Site Test Fits'!Q29</f>
        <v>1.9900128406334712</v>
      </c>
      <c r="M12" s="84">
        <f>'Small Site Test Fits'!Q32</f>
        <v>2.5637038093879299</v>
      </c>
      <c r="N12" s="84">
        <f>'Small Site Test Fits'!Q35</f>
        <v>3.1373947781423883</v>
      </c>
      <c r="O12" s="84">
        <f>O9/O7</f>
        <v>0.94121739130434778</v>
      </c>
      <c r="P12" s="84">
        <f>P9/P7</f>
        <v>1.0017391304347827</v>
      </c>
      <c r="Q12" s="89"/>
      <c r="R12" s="89"/>
      <c r="S12" s="89"/>
      <c r="T12" s="89"/>
    </row>
    <row r="13" spans="1:26" s="72" customFormat="1" ht="13.5" x14ac:dyDescent="0.25">
      <c r="A13" s="82"/>
      <c r="B13" s="82"/>
      <c r="C13" s="82"/>
      <c r="D13" s="88"/>
      <c r="E13" s="88"/>
      <c r="F13" s="88"/>
      <c r="G13" s="88"/>
      <c r="H13" s="88"/>
      <c r="I13" s="88"/>
      <c r="J13" s="88"/>
      <c r="K13" s="88"/>
      <c r="L13" s="88"/>
      <c r="M13" s="88"/>
      <c r="N13" s="88"/>
      <c r="O13" s="88"/>
      <c r="P13" s="88"/>
      <c r="Q13" s="89"/>
      <c r="R13" s="89"/>
      <c r="S13" s="89"/>
      <c r="T13" s="89"/>
    </row>
    <row r="14" spans="1:26" s="72" customFormat="1" ht="13.5" x14ac:dyDescent="0.25">
      <c r="A14" s="90"/>
      <c r="B14" s="78" t="s">
        <v>95</v>
      </c>
      <c r="C14" s="78"/>
      <c r="D14" s="88"/>
      <c r="E14" s="88"/>
      <c r="F14" s="88"/>
      <c r="G14" s="88"/>
      <c r="H14" s="88"/>
      <c r="I14" s="88"/>
      <c r="J14" s="88"/>
      <c r="K14" s="88"/>
      <c r="L14" s="88"/>
      <c r="M14" s="88"/>
      <c r="N14" s="88"/>
      <c r="O14" s="88"/>
      <c r="P14" s="88"/>
      <c r="Q14" s="89"/>
      <c r="R14" s="89"/>
      <c r="S14" s="89"/>
      <c r="T14" s="89"/>
    </row>
    <row r="15" spans="1:26" s="72" customFormat="1" ht="13.5" x14ac:dyDescent="0.25">
      <c r="A15" s="83"/>
      <c r="B15" s="82" t="s">
        <v>213</v>
      </c>
      <c r="C15" s="86">
        <f>'MXDH-Large Test Fit'!D25</f>
        <v>81904</v>
      </c>
      <c r="D15" s="86">
        <f>'MXDH-Large Test Fit'!D32</f>
        <v>97904</v>
      </c>
      <c r="E15" s="86">
        <f>'MXDH-Large Test Fit'!M26</f>
        <v>102608</v>
      </c>
      <c r="F15" s="86">
        <f>'MXDH-Large Test Fit'!M33</f>
        <v>143560</v>
      </c>
      <c r="G15" s="86">
        <f>'MXDH-Large Test Fit'!AC26</f>
        <v>121068</v>
      </c>
      <c r="H15" s="86">
        <f>'MXDH-Large Test Fit'!AC33</f>
        <v>162020</v>
      </c>
      <c r="I15" s="86">
        <f>'Small Site Test Fits'!D29</f>
        <v>8956</v>
      </c>
      <c r="J15" s="86">
        <f>'Small Site Test Fits'!D32</f>
        <v>12977</v>
      </c>
      <c r="K15" s="86">
        <f>'Small Site Test Fits'!D35</f>
        <v>16998</v>
      </c>
      <c r="L15" s="86">
        <f>I15+I22</f>
        <v>9836</v>
      </c>
      <c r="M15" s="86">
        <f t="shared" ref="M15:N15" si="2">J15+J22</f>
        <v>13857</v>
      </c>
      <c r="N15" s="86">
        <f t="shared" si="2"/>
        <v>17878</v>
      </c>
      <c r="O15" s="88">
        <f>'RL ZONE'!C22</f>
        <v>4152</v>
      </c>
      <c r="P15" s="88">
        <f>'RL ZONE'!U22</f>
        <v>4320</v>
      </c>
      <c r="Q15" s="89"/>
      <c r="R15" s="89"/>
      <c r="S15" s="89"/>
      <c r="T15" s="89"/>
    </row>
    <row r="16" spans="1:26" s="72" customFormat="1" ht="13.5" x14ac:dyDescent="0.25">
      <c r="A16" s="83"/>
      <c r="B16" s="82" t="s">
        <v>96</v>
      </c>
      <c r="C16" s="245">
        <f>'MXDH-Large Test Fit'!E25</f>
        <v>95.237209302325581</v>
      </c>
      <c r="D16" s="88">
        <f>ROUND('MXDH-Large Test Fit'!E32,0)</f>
        <v>114</v>
      </c>
      <c r="E16" s="88">
        <f>ROUND('MXDH-Large Test Fit'!N26,0)</f>
        <v>119</v>
      </c>
      <c r="F16" s="88">
        <f>ROUND('MXDH-Large Test Fit'!N33,0)</f>
        <v>167</v>
      </c>
      <c r="G16" s="88">
        <f>ROUND('MXDH-Large Test Fit'!AD26,0)</f>
        <v>141</v>
      </c>
      <c r="H16" s="88">
        <f>ROUND('MXDH-Large Test Fit'!AD33,0)</f>
        <v>188</v>
      </c>
      <c r="I16" s="88">
        <f>ROUND('Small Site Test Fits'!E29,0)</f>
        <v>9</v>
      </c>
      <c r="J16" s="88">
        <f>ROUND('Small Site Test Fits'!E32,0)</f>
        <v>14</v>
      </c>
      <c r="K16" s="88">
        <f>ROUND('Small Site Test Fits'!E35,0)</f>
        <v>19</v>
      </c>
      <c r="L16" s="88">
        <f>ROUND('Small Site Test Fits'!N29,0)</f>
        <v>10</v>
      </c>
      <c r="M16" s="88">
        <f>ROUND('Small Site Test Fits'!N32,0)</f>
        <v>15</v>
      </c>
      <c r="N16" s="88">
        <f>ROUND('Small Site Test Fits'!N35,0)</f>
        <v>20</v>
      </c>
      <c r="O16" s="88">
        <v>3</v>
      </c>
      <c r="P16" s="88">
        <v>4</v>
      </c>
      <c r="Q16" s="89"/>
      <c r="R16" s="89"/>
      <c r="S16" s="89"/>
      <c r="T16" s="89"/>
      <c r="W16" s="81"/>
      <c r="X16" s="92"/>
      <c r="Y16" s="92"/>
      <c r="Z16" s="92"/>
    </row>
    <row r="17" spans="1:28" s="207" customFormat="1" ht="13.5" x14ac:dyDescent="0.25">
      <c r="A17" s="83"/>
      <c r="B17" s="83" t="s">
        <v>97</v>
      </c>
      <c r="C17" s="250">
        <f>'MXDH-Large Test Fit'!$C$10*C10</f>
        <v>645</v>
      </c>
      <c r="D17" s="250">
        <f>'MXDH-Large Test Fit'!$C$10*D10</f>
        <v>645</v>
      </c>
      <c r="E17" s="250">
        <f>'MXDH-Large Test Fit'!$C$10*E10</f>
        <v>645</v>
      </c>
      <c r="F17" s="250">
        <f>'MXDH-Large Test Fit'!$C$10*F10</f>
        <v>645</v>
      </c>
      <c r="G17" s="250">
        <f>'MXDH-Large Test Fit'!$C$10*G10</f>
        <v>645</v>
      </c>
      <c r="H17" s="250">
        <f>'MXDH-Large Test Fit'!$C$10*H10</f>
        <v>645</v>
      </c>
      <c r="I17" s="247">
        <v>645</v>
      </c>
      <c r="J17" s="247">
        <v>645</v>
      </c>
      <c r="K17" s="247">
        <v>645</v>
      </c>
      <c r="L17" s="247">
        <v>645</v>
      </c>
      <c r="M17" s="247">
        <v>645</v>
      </c>
      <c r="N17" s="247">
        <v>645</v>
      </c>
      <c r="O17" s="247">
        <f>'RL ZONE'!C8</f>
        <v>1383</v>
      </c>
      <c r="P17" s="247">
        <f>'RL ZONE'!U8</f>
        <v>1080</v>
      </c>
      <c r="Q17" s="112"/>
      <c r="R17" s="112"/>
      <c r="S17" s="112"/>
      <c r="T17" s="112"/>
      <c r="W17" s="251"/>
      <c r="X17" s="252"/>
      <c r="Y17" s="252"/>
      <c r="Z17" s="252"/>
    </row>
    <row r="18" spans="1:28" s="72" customFormat="1" ht="13.5" x14ac:dyDescent="0.25">
      <c r="A18" s="82"/>
      <c r="B18" s="83" t="s">
        <v>104</v>
      </c>
      <c r="C18" s="93">
        <f>C16/C6</f>
        <v>73.827294032810528</v>
      </c>
      <c r="D18" s="93">
        <f>D16/D6</f>
        <v>88.372093023255815</v>
      </c>
      <c r="E18" s="93">
        <f t="shared" ref="E18:P18" si="3">E16/E6</f>
        <v>92.248062015503876</v>
      </c>
      <c r="F18" s="93">
        <f t="shared" si="3"/>
        <v>129.45736434108528</v>
      </c>
      <c r="G18" s="93">
        <f t="shared" si="3"/>
        <v>109.30232558139535</v>
      </c>
      <c r="H18" s="93">
        <f t="shared" si="3"/>
        <v>145.73643410852713</v>
      </c>
      <c r="I18" s="93">
        <f t="shared" si="3"/>
        <v>55.93379940077044</v>
      </c>
      <c r="J18" s="93">
        <f t="shared" si="3"/>
        <v>87.008132401198466</v>
      </c>
      <c r="K18" s="93">
        <f t="shared" si="3"/>
        <v>118.08246540162649</v>
      </c>
      <c r="L18" s="93">
        <f t="shared" si="3"/>
        <v>62.148666000856046</v>
      </c>
      <c r="M18" s="93">
        <f t="shared" si="3"/>
        <v>93.222999001284066</v>
      </c>
      <c r="N18" s="93">
        <f t="shared" si="3"/>
        <v>124.29733200171209</v>
      </c>
      <c r="O18" s="93">
        <f t="shared" si="3"/>
        <v>22.726956521739133</v>
      </c>
      <c r="P18" s="93">
        <f t="shared" si="3"/>
        <v>30.302608695652175</v>
      </c>
      <c r="Q18" s="89"/>
      <c r="R18" s="89"/>
      <c r="S18" s="89"/>
      <c r="T18" s="89"/>
      <c r="W18" s="81"/>
      <c r="X18" s="92"/>
      <c r="Y18" s="92"/>
      <c r="Z18" s="92"/>
    </row>
    <row r="19" spans="1:28" s="72" customFormat="1" ht="13.5" x14ac:dyDescent="0.25">
      <c r="A19" s="82"/>
      <c r="B19" s="83" t="s">
        <v>501</v>
      </c>
      <c r="C19" s="93">
        <f>C16*C17</f>
        <v>61428</v>
      </c>
      <c r="D19" s="93">
        <f>D16*D17</f>
        <v>73530</v>
      </c>
      <c r="E19" s="93">
        <f t="shared" ref="E19:P19" si="4">E16*E17</f>
        <v>76755</v>
      </c>
      <c r="F19" s="93">
        <f t="shared" si="4"/>
        <v>107715</v>
      </c>
      <c r="G19" s="93">
        <f t="shared" si="4"/>
        <v>90945</v>
      </c>
      <c r="H19" s="93">
        <f t="shared" si="4"/>
        <v>121260</v>
      </c>
      <c r="I19" s="93">
        <f t="shared" si="4"/>
        <v>5805</v>
      </c>
      <c r="J19" s="93">
        <f t="shared" si="4"/>
        <v>9030</v>
      </c>
      <c r="K19" s="93">
        <f t="shared" si="4"/>
        <v>12255</v>
      </c>
      <c r="L19" s="93">
        <f t="shared" si="4"/>
        <v>6450</v>
      </c>
      <c r="M19" s="93">
        <f t="shared" si="4"/>
        <v>9675</v>
      </c>
      <c r="N19" s="93">
        <f t="shared" si="4"/>
        <v>12900</v>
      </c>
      <c r="O19" s="93">
        <f t="shared" si="4"/>
        <v>4149</v>
      </c>
      <c r="P19" s="93">
        <f t="shared" si="4"/>
        <v>4320</v>
      </c>
      <c r="Q19" s="89"/>
      <c r="R19" s="89"/>
      <c r="S19" s="89"/>
      <c r="T19" s="89"/>
      <c r="W19" s="81"/>
      <c r="X19" s="92"/>
      <c r="Y19" s="92"/>
      <c r="Z19" s="92"/>
    </row>
    <row r="20" spans="1:28" s="72" customFormat="1" ht="13.5" x14ac:dyDescent="0.25">
      <c r="A20" s="82"/>
      <c r="B20" s="82"/>
      <c r="C20" s="82"/>
      <c r="D20" s="86"/>
      <c r="E20" s="86"/>
      <c r="F20" s="86"/>
      <c r="G20" s="86"/>
      <c r="H20" s="86"/>
      <c r="I20" s="86"/>
      <c r="J20" s="86"/>
      <c r="K20" s="86"/>
      <c r="L20" s="86"/>
      <c r="M20" s="86"/>
      <c r="N20" s="86"/>
      <c r="O20" s="86"/>
      <c r="P20" s="86"/>
      <c r="Q20" s="85"/>
      <c r="R20" s="85"/>
      <c r="S20" s="85"/>
      <c r="T20" s="85"/>
    </row>
    <row r="21" spans="1:28" s="72" customFormat="1" ht="13.5" x14ac:dyDescent="0.25">
      <c r="A21" s="90"/>
      <c r="B21" s="78" t="s">
        <v>177</v>
      </c>
      <c r="C21" s="78"/>
      <c r="D21" s="86"/>
      <c r="E21" s="86"/>
      <c r="F21" s="86"/>
      <c r="G21" s="86"/>
      <c r="H21" s="86"/>
      <c r="I21" s="86"/>
      <c r="J21" s="86"/>
      <c r="K21" s="86"/>
      <c r="L21" s="86"/>
      <c r="M21" s="86"/>
      <c r="N21" s="86"/>
      <c r="O21" s="86"/>
      <c r="P21" s="86"/>
      <c r="Q21" s="85"/>
      <c r="R21" s="85"/>
      <c r="S21" s="85"/>
      <c r="T21" s="85"/>
    </row>
    <row r="22" spans="1:28" s="207" customFormat="1" ht="13.5" x14ac:dyDescent="0.25">
      <c r="A22" s="83"/>
      <c r="B22" s="83" t="s">
        <v>208</v>
      </c>
      <c r="C22" s="247">
        <f>'MXDH-Large Test Fit'!C25</f>
        <v>21470</v>
      </c>
      <c r="D22" s="247">
        <f>'MXDH-Large Test Fit'!C32</f>
        <v>21470</v>
      </c>
      <c r="E22" s="247">
        <f>'MXDH-Large Test Fit'!L26</f>
        <v>21470</v>
      </c>
      <c r="F22" s="247">
        <f>'MXDH-Large Test Fit'!L33</f>
        <v>21470</v>
      </c>
      <c r="G22" s="247">
        <v>0</v>
      </c>
      <c r="H22" s="247">
        <v>0</v>
      </c>
      <c r="I22" s="247">
        <f>'Small Site Test Fits'!C26</f>
        <v>880</v>
      </c>
      <c r="J22" s="247">
        <f>I22</f>
        <v>880</v>
      </c>
      <c r="K22" s="247">
        <f>I22</f>
        <v>880</v>
      </c>
      <c r="L22" s="247">
        <v>0</v>
      </c>
      <c r="M22" s="247">
        <v>0</v>
      </c>
      <c r="N22" s="247">
        <v>0</v>
      </c>
      <c r="O22" s="247">
        <v>0</v>
      </c>
      <c r="P22" s="247">
        <v>0</v>
      </c>
      <c r="Q22" s="119"/>
      <c r="R22" s="119"/>
      <c r="S22" s="119"/>
      <c r="T22" s="119"/>
    </row>
    <row r="23" spans="1:28" s="72" customFormat="1" ht="13.5" x14ac:dyDescent="0.25">
      <c r="A23" s="82"/>
      <c r="B23" s="82"/>
      <c r="C23" s="82"/>
      <c r="D23" s="86"/>
      <c r="E23" s="86"/>
      <c r="F23" s="86"/>
      <c r="G23" s="86"/>
      <c r="H23" s="86"/>
      <c r="I23" s="86"/>
      <c r="J23" s="86"/>
      <c r="K23" s="86"/>
      <c r="L23" s="86"/>
      <c r="M23" s="86"/>
      <c r="N23" s="86"/>
      <c r="O23" s="86"/>
      <c r="P23" s="86"/>
      <c r="Q23" s="85"/>
      <c r="R23" s="85"/>
      <c r="S23" s="85"/>
      <c r="T23" s="85"/>
    </row>
    <row r="24" spans="1:28" s="72" customFormat="1" ht="13.5" x14ac:dyDescent="0.25">
      <c r="A24" s="90"/>
      <c r="B24" s="78" t="s">
        <v>0</v>
      </c>
      <c r="C24" s="78"/>
      <c r="D24" s="86"/>
      <c r="E24" s="86"/>
      <c r="F24" s="86"/>
      <c r="G24" s="86"/>
      <c r="H24" s="86"/>
      <c r="I24" s="86"/>
      <c r="J24" s="86"/>
      <c r="K24" s="86"/>
      <c r="L24" s="86"/>
      <c r="M24" s="86"/>
      <c r="N24" s="86"/>
      <c r="O24" s="86"/>
      <c r="P24" s="86"/>
      <c r="Q24" s="85"/>
      <c r="R24" s="85"/>
      <c r="S24" s="85"/>
      <c r="T24" s="85"/>
    </row>
    <row r="25" spans="1:28" s="72" customFormat="1" ht="13.5" x14ac:dyDescent="0.25">
      <c r="A25" s="83"/>
      <c r="B25" s="82" t="s">
        <v>210</v>
      </c>
      <c r="C25" s="415">
        <f>'MXDH-Large Test Fit'!G41+'MXDH-Large Test Fit'!G42+'MXDH-Large Test Fit'!G43</f>
        <v>123.61789767441861</v>
      </c>
      <c r="D25" s="86">
        <f>'MXDH-Large Test Fit'!F52+'MXDH-Large Test Fit'!F53+'MXDH-Large Test Fit'!F54</f>
        <v>147.76673488372091</v>
      </c>
      <c r="E25" s="86">
        <f>'MXDH-Large Test Fit'!P46</f>
        <v>152.71888372093025</v>
      </c>
      <c r="F25" s="86">
        <f>'MXDH-Large Test Fit'!P57</f>
        <v>213.67069767441862</v>
      </c>
      <c r="G25" s="86">
        <f>'MXDH-Large Test Fit'!AF46</f>
        <v>180.19423255813956</v>
      </c>
      <c r="H25" s="86">
        <f>'MXDH-Large Test Fit'!AG57</f>
        <v>241.14604651162796</v>
      </c>
      <c r="I25" s="86">
        <f>'Small Site Test Fits'!G49</f>
        <v>13.329860465116278</v>
      </c>
      <c r="J25" s="86">
        <f>'Small Site Test Fits'!G60</f>
        <v>17.805651162790699</v>
      </c>
      <c r="K25" s="86"/>
      <c r="L25" s="86"/>
      <c r="M25" s="86"/>
      <c r="N25" s="86"/>
      <c r="O25" s="86"/>
      <c r="P25" s="86"/>
      <c r="Q25" s="85"/>
      <c r="R25" s="85"/>
      <c r="S25" s="85"/>
      <c r="T25" s="85"/>
    </row>
    <row r="26" spans="1:28" s="72" customFormat="1" ht="13.5" x14ac:dyDescent="0.25">
      <c r="A26" s="83"/>
      <c r="B26" s="82" t="s">
        <v>211</v>
      </c>
      <c r="C26" s="415">
        <f>'MXDH-Large Test Fit'!F56</f>
        <v>85.88</v>
      </c>
      <c r="D26" s="86">
        <f>'MXDH-Large Test Fit'!F56</f>
        <v>85.88</v>
      </c>
      <c r="E26" s="86">
        <f>'MXDH-Large Test Fit'!O45</f>
        <v>85.88</v>
      </c>
      <c r="F26" s="86">
        <f>'MXDH-Large Test Fit'!O56</f>
        <v>85.88</v>
      </c>
      <c r="G26" s="86">
        <v>0</v>
      </c>
      <c r="H26" s="86">
        <v>0</v>
      </c>
      <c r="I26" s="388">
        <f>'Small Site Test Fits'!$F$49</f>
        <v>3.52</v>
      </c>
      <c r="J26" s="388">
        <f>'Small Site Test Fits'!$F$49</f>
        <v>3.52</v>
      </c>
      <c r="K26" s="388">
        <f>'Small Site Test Fits'!$F$49</f>
        <v>3.52</v>
      </c>
      <c r="L26" s="86"/>
      <c r="M26" s="86"/>
      <c r="N26" s="86"/>
      <c r="O26" s="86"/>
      <c r="P26" s="86"/>
      <c r="Q26" s="85"/>
      <c r="R26" s="85"/>
      <c r="S26" s="85"/>
      <c r="T26" s="85"/>
    </row>
    <row r="27" spans="1:28" s="207" customFormat="1" ht="13.5" x14ac:dyDescent="0.25">
      <c r="A27" s="83"/>
      <c r="B27" s="253" t="s">
        <v>204</v>
      </c>
      <c r="C27" s="416">
        <f>C25+C26</f>
        <v>209.4978976744186</v>
      </c>
      <c r="D27" s="254">
        <f>SUM(D25:D26)</f>
        <v>233.64673488372091</v>
      </c>
      <c r="E27" s="254">
        <f t="shared" ref="E27:F27" si="5">SUM(E25:E26)</f>
        <v>238.59888372093025</v>
      </c>
      <c r="F27" s="254">
        <f t="shared" si="5"/>
        <v>299.55069767441864</v>
      </c>
      <c r="G27" s="254"/>
      <c r="H27" s="254"/>
      <c r="I27" s="255">
        <f>SUM(I25:I26)</f>
        <v>16.849860465116279</v>
      </c>
      <c r="J27" s="255">
        <f t="shared" ref="J27:K27" si="6">SUM(J25:J26)</f>
        <v>21.325651162790699</v>
      </c>
      <c r="K27" s="255">
        <f t="shared" si="6"/>
        <v>3.52</v>
      </c>
      <c r="L27" s="255"/>
      <c r="M27" s="255"/>
      <c r="N27" s="255"/>
      <c r="O27" s="247"/>
      <c r="P27" s="247"/>
      <c r="Q27" s="119"/>
      <c r="R27" s="119"/>
      <c r="S27" s="119"/>
      <c r="T27" s="119"/>
    </row>
    <row r="28" spans="1:28" s="72" customFormat="1" ht="13.5" x14ac:dyDescent="0.25">
      <c r="A28" s="82"/>
      <c r="B28" s="404" t="s">
        <v>209</v>
      </c>
      <c r="C28" s="255">
        <f>'MXDH-Large Test Fit'!F34</f>
        <v>86.331601250000006</v>
      </c>
      <c r="D28" s="255">
        <f>'MXDH-Large Test Fit'!F34</f>
        <v>86.331601250000006</v>
      </c>
      <c r="E28" s="255">
        <f>'MXDH-Large Test Fit'!O28</f>
        <v>157.14364555555557</v>
      </c>
      <c r="F28" s="255">
        <f>'MXDH-Large Test Fit'!O35</f>
        <v>157.14364555555557</v>
      </c>
      <c r="G28" s="255">
        <v>161</v>
      </c>
      <c r="H28" s="255">
        <f>'MXDH-Large Test Fit'!AE35</f>
        <v>160.8088888888889</v>
      </c>
      <c r="I28" s="255">
        <f>'Small Site Test Fits'!F38</f>
        <v>10.28</v>
      </c>
      <c r="J28" s="255">
        <f>I28</f>
        <v>10.28</v>
      </c>
      <c r="K28" s="255">
        <f>I28</f>
        <v>10.28</v>
      </c>
      <c r="L28" s="255">
        <f>'Small Site Test Fits'!O38</f>
        <v>10.28</v>
      </c>
      <c r="M28" s="255">
        <f>L28</f>
        <v>10.28</v>
      </c>
      <c r="N28" s="255">
        <f>L28</f>
        <v>10.28</v>
      </c>
      <c r="O28" s="86">
        <f>'RL ZONE'!E24</f>
        <v>6</v>
      </c>
      <c r="P28" s="86">
        <f>'RL ZONE'!W24</f>
        <v>8</v>
      </c>
      <c r="Q28" s="85"/>
      <c r="R28" s="96"/>
      <c r="S28" s="96"/>
      <c r="T28" s="96"/>
      <c r="U28" s="96"/>
      <c r="V28" s="96"/>
      <c r="W28" s="96"/>
      <c r="Y28" s="96"/>
      <c r="Z28" s="96"/>
      <c r="AA28" s="96"/>
      <c r="AB28" s="96"/>
    </row>
    <row r="29" spans="1:28" s="72" customFormat="1" ht="13.5" x14ac:dyDescent="0.25">
      <c r="A29" s="82"/>
      <c r="B29" s="97" t="s">
        <v>223</v>
      </c>
      <c r="C29" s="84">
        <f t="shared" ref="C29:H29" si="7">C28/C16</f>
        <v>0.90649024559240088</v>
      </c>
      <c r="D29" s="84">
        <f t="shared" si="7"/>
        <v>0.75729474780701755</v>
      </c>
      <c r="E29" s="84">
        <f t="shared" si="7"/>
        <v>1.3205348366013072</v>
      </c>
      <c r="F29" s="84">
        <f t="shared" si="7"/>
        <v>0.94097991350632071</v>
      </c>
      <c r="G29" s="84">
        <f t="shared" si="7"/>
        <v>1.1418439716312057</v>
      </c>
      <c r="H29" s="84">
        <f t="shared" si="7"/>
        <v>0.85536643026004733</v>
      </c>
      <c r="I29" s="84">
        <f t="shared" ref="I29:P29" si="8">I28/I16</f>
        <v>1.1422222222222222</v>
      </c>
      <c r="J29" s="84">
        <f t="shared" si="8"/>
        <v>0.73428571428571421</v>
      </c>
      <c r="K29" s="84">
        <f t="shared" si="8"/>
        <v>0.54105263157894734</v>
      </c>
      <c r="L29" s="84">
        <f t="shared" si="8"/>
        <v>1.028</v>
      </c>
      <c r="M29" s="84">
        <f t="shared" si="8"/>
        <v>0.68533333333333324</v>
      </c>
      <c r="N29" s="84">
        <f t="shared" si="8"/>
        <v>0.51400000000000001</v>
      </c>
      <c r="O29" s="84">
        <f t="shared" si="8"/>
        <v>2</v>
      </c>
      <c r="P29" s="84">
        <f t="shared" si="8"/>
        <v>2</v>
      </c>
      <c r="Q29" s="85"/>
      <c r="R29" s="85"/>
      <c r="S29" s="85"/>
    </row>
    <row r="30" spans="1:28" s="72" customFormat="1" ht="13.5" x14ac:dyDescent="0.25">
      <c r="A30" s="82"/>
      <c r="B30" s="97"/>
      <c r="C30" s="97"/>
      <c r="D30" s="88"/>
      <c r="E30" s="88"/>
      <c r="F30" s="88"/>
      <c r="G30" s="88"/>
      <c r="H30" s="88"/>
      <c r="I30" s="88"/>
      <c r="J30" s="88"/>
      <c r="K30" s="88"/>
      <c r="L30" s="88"/>
      <c r="M30" s="88"/>
      <c r="N30" s="88"/>
      <c r="O30" s="88"/>
      <c r="P30" s="88"/>
      <c r="Q30" s="85"/>
      <c r="R30" s="85"/>
      <c r="S30" s="85"/>
    </row>
    <row r="31" spans="1:28" s="72" customFormat="1" ht="13.5" x14ac:dyDescent="0.25">
      <c r="A31" s="82"/>
      <c r="B31" s="94" t="s">
        <v>91</v>
      </c>
      <c r="C31" s="94"/>
      <c r="D31" s="86"/>
      <c r="E31" s="86"/>
      <c r="F31" s="86"/>
      <c r="G31" s="86"/>
      <c r="H31" s="86"/>
      <c r="I31" s="86"/>
      <c r="J31" s="86"/>
      <c r="K31" s="86"/>
      <c r="L31" s="86"/>
      <c r="M31" s="86"/>
      <c r="N31" s="86"/>
      <c r="O31" s="86"/>
      <c r="P31" s="86"/>
      <c r="Q31" s="85"/>
      <c r="R31" s="85"/>
      <c r="S31" s="85"/>
      <c r="T31" s="85"/>
    </row>
    <row r="32" spans="1:28" s="72" customFormat="1" ht="13.5" x14ac:dyDescent="0.25">
      <c r="A32" s="82"/>
      <c r="B32" s="97" t="s">
        <v>86</v>
      </c>
      <c r="C32" s="97"/>
      <c r="D32" s="86"/>
      <c r="E32" s="86"/>
      <c r="F32" s="86"/>
      <c r="G32" s="86"/>
      <c r="H32" s="86"/>
      <c r="I32" s="86"/>
      <c r="J32" s="86"/>
      <c r="K32" s="86"/>
      <c r="L32" s="86"/>
      <c r="M32" s="86"/>
      <c r="N32" s="86"/>
      <c r="O32" s="86"/>
      <c r="P32" s="86"/>
      <c r="Q32" s="85"/>
      <c r="R32" s="85"/>
      <c r="S32" s="85"/>
      <c r="T32" s="85"/>
    </row>
    <row r="33" spans="1:24" s="72" customFormat="1" ht="13.5" x14ac:dyDescent="0.25">
      <c r="A33" s="82"/>
      <c r="B33" s="97" t="s">
        <v>89</v>
      </c>
      <c r="C33" s="86">
        <f>'MXDH-Large Test Fit'!F25</f>
        <v>34532.640500000001</v>
      </c>
      <c r="D33" s="86">
        <f>'MXDH-Large Test Fit'!F32</f>
        <v>34532.640500000001</v>
      </c>
      <c r="E33" s="86">
        <f>'MXDH-Large Test Fit'!O26</f>
        <v>70714.640500000009</v>
      </c>
      <c r="F33" s="86">
        <f>'MXDH-Large Test Fit'!O33</f>
        <v>70714.640500000009</v>
      </c>
      <c r="G33" s="86">
        <f>'MXDH-Large Test Fit'!AE26</f>
        <v>72364</v>
      </c>
      <c r="H33" s="86">
        <f>'MXDH-Large Test Fit'!AE33</f>
        <v>72364</v>
      </c>
      <c r="I33" s="86">
        <f>'Small Site Test Fits'!F29</f>
        <v>4112</v>
      </c>
      <c r="J33" s="86">
        <f>I33</f>
        <v>4112</v>
      </c>
      <c r="K33" s="86">
        <f>I33</f>
        <v>4112</v>
      </c>
      <c r="L33" s="86">
        <f>I33</f>
        <v>4112</v>
      </c>
      <c r="M33" s="86">
        <f>I33</f>
        <v>4112</v>
      </c>
      <c r="N33" s="86">
        <f>I33</f>
        <v>4112</v>
      </c>
      <c r="O33" s="86">
        <f>'RL ZONE'!E22</f>
        <v>1260</v>
      </c>
      <c r="P33" s="86">
        <f>'RL ZONE'!W22</f>
        <v>1440</v>
      </c>
      <c r="Q33" s="85"/>
      <c r="R33" s="85"/>
      <c r="S33" s="85"/>
      <c r="T33" s="85"/>
    </row>
    <row r="34" spans="1:24" s="72" customFormat="1" ht="13.5" x14ac:dyDescent="0.25">
      <c r="A34" s="82"/>
      <c r="B34" s="97" t="s">
        <v>88</v>
      </c>
      <c r="C34" s="97"/>
      <c r="D34" s="88"/>
      <c r="E34" s="88"/>
      <c r="F34" s="88"/>
      <c r="G34" s="88"/>
      <c r="H34" s="88"/>
      <c r="I34" s="88"/>
      <c r="J34" s="88"/>
      <c r="K34" s="88"/>
      <c r="L34" s="88"/>
      <c r="M34" s="88"/>
      <c r="N34" s="88"/>
      <c r="O34" s="88"/>
      <c r="P34" s="88"/>
      <c r="Q34" s="85"/>
      <c r="R34" s="85"/>
      <c r="S34" s="85"/>
    </row>
    <row r="35" spans="1:24" s="72" customFormat="1" ht="13.5" x14ac:dyDescent="0.25">
      <c r="A35" s="82"/>
      <c r="B35" s="98" t="s">
        <v>90</v>
      </c>
      <c r="C35" s="98"/>
      <c r="D35" s="86"/>
      <c r="E35" s="86"/>
      <c r="F35" s="86"/>
      <c r="G35" s="86"/>
      <c r="H35" s="86"/>
      <c r="I35" s="86"/>
      <c r="J35" s="86"/>
      <c r="K35" s="86"/>
      <c r="L35" s="86"/>
      <c r="M35" s="86"/>
      <c r="N35" s="86"/>
      <c r="O35" s="86"/>
      <c r="P35" s="86"/>
      <c r="Q35" s="85"/>
      <c r="R35" s="85"/>
      <c r="S35" s="85"/>
    </row>
    <row r="36" spans="1:24" s="72" customFormat="1" ht="13.5" x14ac:dyDescent="0.25">
      <c r="A36" s="82"/>
      <c r="B36" s="100" t="s">
        <v>73</v>
      </c>
      <c r="C36" s="101">
        <f>SUM(C32:C35)</f>
        <v>34532.640500000001</v>
      </c>
      <c r="D36" s="101">
        <f>SUM(D32:D35)</f>
        <v>34532.640500000001</v>
      </c>
      <c r="E36" s="101">
        <f t="shared" ref="E36:P36" si="9">SUM(E32:E35)</f>
        <v>70714.640500000009</v>
      </c>
      <c r="F36" s="101">
        <f t="shared" si="9"/>
        <v>70714.640500000009</v>
      </c>
      <c r="G36" s="101">
        <f t="shared" si="9"/>
        <v>72364</v>
      </c>
      <c r="H36" s="101">
        <f t="shared" si="9"/>
        <v>72364</v>
      </c>
      <c r="I36" s="101">
        <f t="shared" si="9"/>
        <v>4112</v>
      </c>
      <c r="J36" s="101">
        <f t="shared" si="9"/>
        <v>4112</v>
      </c>
      <c r="K36" s="101">
        <f t="shared" si="9"/>
        <v>4112</v>
      </c>
      <c r="L36" s="101">
        <f t="shared" si="9"/>
        <v>4112</v>
      </c>
      <c r="M36" s="101">
        <f t="shared" si="9"/>
        <v>4112</v>
      </c>
      <c r="N36" s="101">
        <f t="shared" si="9"/>
        <v>4112</v>
      </c>
      <c r="O36" s="101">
        <f t="shared" si="9"/>
        <v>1260</v>
      </c>
      <c r="P36" s="101">
        <f t="shared" si="9"/>
        <v>1440</v>
      </c>
      <c r="Q36" s="89"/>
      <c r="R36" s="89"/>
      <c r="S36" s="89"/>
    </row>
    <row r="37" spans="1:24" s="72" customFormat="1" ht="13.5" x14ac:dyDescent="0.25">
      <c r="A37" s="102"/>
      <c r="B37" s="102"/>
      <c r="C37" s="102"/>
      <c r="D37" s="181"/>
      <c r="E37" s="181"/>
      <c r="F37" s="181"/>
      <c r="G37" s="181"/>
      <c r="H37" s="181"/>
      <c r="I37" s="181"/>
      <c r="J37" s="181"/>
      <c r="K37" s="181"/>
      <c r="L37" s="181"/>
      <c r="M37" s="181"/>
      <c r="N37" s="181"/>
      <c r="O37" s="181"/>
      <c r="P37" s="181"/>
      <c r="Q37" s="89"/>
      <c r="R37" s="89"/>
      <c r="S37" s="89"/>
    </row>
    <row r="38" spans="1:24" x14ac:dyDescent="0.25">
      <c r="B38" s="59" t="s">
        <v>214</v>
      </c>
      <c r="C38" s="59"/>
      <c r="D38" s="64"/>
      <c r="E38" s="64"/>
      <c r="F38" s="64"/>
      <c r="G38" s="64"/>
      <c r="H38" s="64"/>
      <c r="I38" s="64"/>
      <c r="J38" s="64"/>
      <c r="K38" s="64"/>
      <c r="L38" s="64"/>
      <c r="M38" s="64"/>
      <c r="N38" s="64"/>
      <c r="O38" s="64"/>
      <c r="P38" s="64"/>
      <c r="Q38" s="58"/>
      <c r="R38" s="58"/>
      <c r="S38" s="58"/>
    </row>
    <row r="39" spans="1:24" x14ac:dyDescent="0.25">
      <c r="D39" s="64"/>
      <c r="E39" s="64"/>
      <c r="F39" s="64"/>
      <c r="G39" s="64"/>
      <c r="H39" s="64"/>
      <c r="I39" s="64"/>
      <c r="J39" s="64"/>
      <c r="K39" s="64"/>
      <c r="L39" s="64"/>
      <c r="M39" s="64"/>
      <c r="N39" s="64"/>
      <c r="O39" s="64"/>
      <c r="P39" s="64"/>
      <c r="Q39" s="58"/>
      <c r="R39" s="58"/>
      <c r="S39" s="58"/>
    </row>
    <row r="40" spans="1:24" s="72" customFormat="1" ht="13.5" x14ac:dyDescent="0.25">
      <c r="D40" s="88"/>
      <c r="E40" s="88"/>
      <c r="F40" s="88"/>
      <c r="G40" s="88"/>
      <c r="H40" s="88"/>
      <c r="I40" s="88"/>
      <c r="J40" s="88"/>
      <c r="K40" s="88"/>
      <c r="L40" s="88"/>
      <c r="M40" s="88"/>
      <c r="N40" s="88"/>
      <c r="O40" s="88"/>
      <c r="P40" s="88"/>
      <c r="Q40" s="89"/>
      <c r="R40" s="89"/>
      <c r="S40" s="89"/>
    </row>
    <row r="41" spans="1:24" s="72" customFormat="1" ht="13.5" x14ac:dyDescent="0.25">
      <c r="D41" s="104"/>
      <c r="E41" s="104"/>
      <c r="F41" s="104"/>
      <c r="G41" s="104"/>
      <c r="H41" s="104"/>
      <c r="I41" s="104"/>
      <c r="J41" s="104"/>
      <c r="K41" s="104"/>
      <c r="L41" s="104"/>
      <c r="M41" s="104"/>
      <c r="N41" s="104"/>
      <c r="O41" s="104"/>
      <c r="P41" s="104"/>
      <c r="Q41" s="89"/>
      <c r="R41" s="89"/>
      <c r="S41" s="89"/>
    </row>
    <row r="42" spans="1:24" s="72" customFormat="1" ht="13.5" x14ac:dyDescent="0.25">
      <c r="D42" s="104"/>
      <c r="E42" s="104"/>
      <c r="F42" s="104"/>
      <c r="G42" s="104"/>
      <c r="H42" s="104"/>
      <c r="I42" s="104"/>
      <c r="J42" s="104"/>
      <c r="K42" s="104"/>
      <c r="L42" s="104"/>
      <c r="M42" s="104"/>
      <c r="N42" s="104"/>
      <c r="O42" s="104"/>
      <c r="P42" s="104"/>
      <c r="Q42" s="89"/>
      <c r="R42" s="89"/>
      <c r="S42" s="89"/>
      <c r="T42" s="89"/>
    </row>
    <row r="43" spans="1:24" x14ac:dyDescent="0.25">
      <c r="D43" s="63"/>
      <c r="E43" s="63"/>
      <c r="F43" s="63"/>
      <c r="G43" s="63"/>
      <c r="H43" s="63"/>
      <c r="I43" s="63"/>
      <c r="J43" s="63"/>
      <c r="K43" s="63"/>
      <c r="L43" s="63"/>
      <c r="M43" s="63"/>
      <c r="N43" s="63"/>
      <c r="O43" s="63"/>
      <c r="P43" s="63"/>
      <c r="Q43" s="58"/>
      <c r="R43" s="58"/>
      <c r="S43" s="58"/>
      <c r="T43" s="58"/>
    </row>
    <row r="44" spans="1:24" x14ac:dyDescent="0.25">
      <c r="D44" s="63"/>
      <c r="E44" s="63"/>
      <c r="F44" s="63"/>
      <c r="G44" s="63"/>
      <c r="H44" s="63"/>
      <c r="I44" s="63"/>
      <c r="J44" s="63"/>
      <c r="K44" s="63"/>
      <c r="L44" s="63"/>
      <c r="M44" s="63"/>
      <c r="N44" s="63"/>
      <c r="O44" s="63"/>
      <c r="P44" s="63"/>
      <c r="Q44" s="58"/>
      <c r="R44" s="58"/>
      <c r="S44" s="58"/>
      <c r="T44" s="62"/>
      <c r="W44" s="60"/>
      <c r="X44" s="60"/>
    </row>
    <row r="45" spans="1:24" x14ac:dyDescent="0.25">
      <c r="T45" s="62"/>
      <c r="W45" s="67"/>
      <c r="X45" s="68"/>
    </row>
    <row r="46" spans="1:24" x14ac:dyDescent="0.25">
      <c r="T46" s="62"/>
      <c r="W46" s="67"/>
      <c r="X46" s="68"/>
    </row>
    <row r="47" spans="1:24" x14ac:dyDescent="0.25">
      <c r="T47" s="62"/>
      <c r="W47" s="67"/>
      <c r="X47" s="68"/>
    </row>
    <row r="48" spans="1:24" x14ac:dyDescent="0.25">
      <c r="T48" s="58"/>
    </row>
    <row r="49" spans="20:25" x14ac:dyDescent="0.25">
      <c r="T49" s="58"/>
      <c r="W49" s="67"/>
      <c r="X49" s="68"/>
      <c r="Y49" s="65"/>
    </row>
    <row r="50" spans="20:25" x14ac:dyDescent="0.25">
      <c r="T50" s="58"/>
      <c r="W50" s="67"/>
      <c r="X50" s="68"/>
      <c r="Y50" s="65"/>
    </row>
    <row r="51" spans="20:25" x14ac:dyDescent="0.25">
      <c r="T51" s="58"/>
      <c r="W51" s="67"/>
      <c r="X51" s="68"/>
      <c r="Y51" s="65"/>
    </row>
    <row r="52" spans="20:25" x14ac:dyDescent="0.25">
      <c r="T52" s="58"/>
      <c r="W52" s="67"/>
      <c r="X52" s="68"/>
      <c r="Y52" s="65"/>
    </row>
    <row r="53" spans="20:25" x14ac:dyDescent="0.25">
      <c r="T53" s="58"/>
    </row>
  </sheetData>
  <sheetProtection algorithmName="SHA-512" hashValue="15+iQWsP09EvXI9pdoKG81vuygHlBsj/WseqeJLX86Qo+sT+DvVjihPD4jgfhg+5ij5TpNX8Rx+hL8vWJraIzA==" saltValue="uE+g0JgCjczI/6tCpuoF6Q==" spinCount="100000" sheet="1" objects="1" scenarios="1"/>
  <mergeCells count="5">
    <mergeCell ref="G2:H2"/>
    <mergeCell ref="I2:K2"/>
    <mergeCell ref="L2:N2"/>
    <mergeCell ref="C2:F2"/>
    <mergeCell ref="O2:P2"/>
  </mergeCells>
  <pageMargins left="0.7" right="0.7" top="0.75" bottom="0.75" header="0.3" footer="0.3"/>
  <pageSetup paperSize="138" scale="6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9" tint="0.59999389629810485"/>
  </sheetPr>
  <dimension ref="A1:AR18"/>
  <sheetViews>
    <sheetView workbookViewId="0">
      <selection activeCell="B44" sqref="B44"/>
    </sheetView>
  </sheetViews>
  <sheetFormatPr defaultColWidth="10.5703125" defaultRowHeight="12" x14ac:dyDescent="0.2"/>
  <cols>
    <col min="1" max="1" width="52.5703125" customWidth="1"/>
    <col min="2" max="2" width="44.85546875" customWidth="1"/>
    <col min="6" max="7" width="10.85546875" bestFit="1" customWidth="1"/>
    <col min="9" max="9" width="12.42578125" bestFit="1" customWidth="1"/>
    <col min="10" max="10" width="19.5703125" bestFit="1" customWidth="1"/>
    <col min="11" max="11" width="13" bestFit="1" customWidth="1"/>
    <col min="14" max="14" width="11" bestFit="1" customWidth="1"/>
    <col min="15" max="15" width="10.85546875" bestFit="1" customWidth="1"/>
    <col min="24" max="24" width="38.5703125" customWidth="1"/>
    <col min="26" max="29" width="10.85546875" bestFit="1" customWidth="1"/>
  </cols>
  <sheetData>
    <row r="1" spans="1:44" ht="15" x14ac:dyDescent="0.25">
      <c r="A1" s="308" t="s">
        <v>304</v>
      </c>
      <c r="B1" s="308" t="s">
        <v>305</v>
      </c>
      <c r="C1" s="308" t="s">
        <v>306</v>
      </c>
      <c r="D1" s="308" t="s">
        <v>307</v>
      </c>
      <c r="E1" s="308" t="s">
        <v>308</v>
      </c>
      <c r="F1" s="309" t="s">
        <v>309</v>
      </c>
      <c r="G1" s="310" t="s">
        <v>310</v>
      </c>
      <c r="H1" s="308" t="s">
        <v>311</v>
      </c>
      <c r="I1" s="311" t="s">
        <v>312</v>
      </c>
      <c r="J1" s="312" t="s">
        <v>313</v>
      </c>
      <c r="K1" s="313" t="s">
        <v>314</v>
      </c>
      <c r="L1" s="308" t="s">
        <v>315</v>
      </c>
      <c r="M1" s="308"/>
      <c r="N1" s="310" t="s">
        <v>316</v>
      </c>
      <c r="O1" s="312" t="s">
        <v>317</v>
      </c>
      <c r="P1" s="312" t="s">
        <v>318</v>
      </c>
      <c r="Q1" s="308" t="s">
        <v>319</v>
      </c>
      <c r="R1" s="308" t="s">
        <v>320</v>
      </c>
      <c r="S1" s="308" t="s">
        <v>321</v>
      </c>
      <c r="T1" s="308" t="s">
        <v>322</v>
      </c>
      <c r="U1" s="308" t="s">
        <v>323</v>
      </c>
      <c r="V1" s="308" t="s">
        <v>324</v>
      </c>
      <c r="W1" s="308" t="s">
        <v>325</v>
      </c>
      <c r="X1" s="308" t="s">
        <v>326</v>
      </c>
      <c r="Y1" s="308" t="s">
        <v>327</v>
      </c>
      <c r="Z1" s="309" t="s">
        <v>328</v>
      </c>
      <c r="AA1" s="312" t="s">
        <v>329</v>
      </c>
      <c r="AB1" s="309" t="s">
        <v>309</v>
      </c>
      <c r="AC1" s="309" t="s">
        <v>330</v>
      </c>
      <c r="AD1" s="308" t="s">
        <v>331</v>
      </c>
      <c r="AE1" s="308" t="s">
        <v>332</v>
      </c>
      <c r="AF1" s="308" t="s">
        <v>333</v>
      </c>
      <c r="AG1" s="308" t="s">
        <v>334</v>
      </c>
      <c r="AH1" s="308" t="s">
        <v>335</v>
      </c>
      <c r="AI1" s="308" t="s">
        <v>336</v>
      </c>
      <c r="AJ1" s="308" t="s">
        <v>337</v>
      </c>
      <c r="AK1" s="313" t="s">
        <v>338</v>
      </c>
      <c r="AL1" s="313" t="s">
        <v>339</v>
      </c>
      <c r="AM1" s="308" t="s">
        <v>340</v>
      </c>
      <c r="AN1" s="308" t="s">
        <v>341</v>
      </c>
      <c r="AO1" s="308" t="s">
        <v>342</v>
      </c>
      <c r="AP1" s="314" t="s">
        <v>343</v>
      </c>
      <c r="AQ1" s="314" t="s">
        <v>344</v>
      </c>
      <c r="AR1" s="308" t="s">
        <v>345</v>
      </c>
    </row>
    <row r="2" spans="1:44" s="315" customFormat="1" ht="15" x14ac:dyDescent="0.25">
      <c r="A2" s="315" t="s">
        <v>346</v>
      </c>
      <c r="B2" s="315" t="s">
        <v>347</v>
      </c>
      <c r="C2" s="315" t="s">
        <v>348</v>
      </c>
      <c r="D2" s="315" t="s">
        <v>349</v>
      </c>
      <c r="E2" s="315" t="s">
        <v>177</v>
      </c>
      <c r="F2" s="316">
        <v>2613</v>
      </c>
      <c r="G2" s="317">
        <v>5034</v>
      </c>
      <c r="H2" s="315" t="s">
        <v>350</v>
      </c>
      <c r="I2" s="318">
        <v>1350000</v>
      </c>
      <c r="J2" s="319">
        <v>268</v>
      </c>
      <c r="K2" s="320">
        <v>43819</v>
      </c>
      <c r="L2" s="315" t="s">
        <v>351</v>
      </c>
      <c r="N2" s="317"/>
      <c r="O2" s="319"/>
      <c r="P2" s="319"/>
      <c r="R2" s="315" t="s">
        <v>352</v>
      </c>
      <c r="S2" s="315" t="s">
        <v>353</v>
      </c>
      <c r="U2" s="315" t="s">
        <v>354</v>
      </c>
      <c r="V2" s="315" t="s">
        <v>353</v>
      </c>
      <c r="W2" s="315" t="s">
        <v>355</v>
      </c>
      <c r="X2" s="315" t="s">
        <v>356</v>
      </c>
      <c r="Y2" s="315" t="s">
        <v>357</v>
      </c>
      <c r="Z2" s="321">
        <v>1980</v>
      </c>
      <c r="AA2" s="319">
        <v>0.06</v>
      </c>
      <c r="AB2" s="321">
        <v>2613</v>
      </c>
      <c r="AC2" s="321">
        <v>1</v>
      </c>
      <c r="AF2" s="315" t="s">
        <v>358</v>
      </c>
      <c r="AG2" s="315" t="s">
        <v>359</v>
      </c>
      <c r="AH2" s="315" t="s">
        <v>348</v>
      </c>
      <c r="AK2" s="320">
        <v>43819</v>
      </c>
      <c r="AL2" s="320">
        <v>43843</v>
      </c>
      <c r="AN2" s="315" t="s">
        <v>360</v>
      </c>
      <c r="AO2" s="315" t="s">
        <v>361</v>
      </c>
      <c r="AP2" s="322">
        <v>36.970084399999998</v>
      </c>
      <c r="AQ2" s="322">
        <v>-122.02469929999999</v>
      </c>
      <c r="AR2" s="315" t="s">
        <v>362</v>
      </c>
    </row>
    <row r="3" spans="1:44" s="315" customFormat="1" ht="15" x14ac:dyDescent="0.25">
      <c r="A3" s="315" t="s">
        <v>363</v>
      </c>
      <c r="B3" s="323" t="s">
        <v>364</v>
      </c>
      <c r="C3" s="315" t="s">
        <v>348</v>
      </c>
      <c r="D3" s="315" t="s">
        <v>349</v>
      </c>
      <c r="E3" s="315" t="s">
        <v>365</v>
      </c>
      <c r="F3" s="321">
        <v>9365</v>
      </c>
      <c r="G3" s="317"/>
      <c r="H3" s="315" t="s">
        <v>366</v>
      </c>
      <c r="I3" s="318">
        <v>600000</v>
      </c>
      <c r="J3" s="319">
        <f>I3/F3</f>
        <v>64.068339562199682</v>
      </c>
      <c r="K3" s="320">
        <v>43747</v>
      </c>
      <c r="L3" s="315" t="s">
        <v>351</v>
      </c>
      <c r="N3" s="317">
        <v>650000</v>
      </c>
      <c r="O3" s="319"/>
      <c r="P3" s="319"/>
      <c r="Q3" s="315" t="s">
        <v>367</v>
      </c>
      <c r="W3" s="315" t="s">
        <v>368</v>
      </c>
      <c r="X3" s="315" t="s">
        <v>98</v>
      </c>
      <c r="Z3" s="321"/>
      <c r="AA3" s="319">
        <v>0.215</v>
      </c>
      <c r="AB3" s="321">
        <v>9365</v>
      </c>
      <c r="AC3" s="321"/>
      <c r="AF3" s="315" t="s">
        <v>369</v>
      </c>
      <c r="AG3" s="315" t="s">
        <v>370</v>
      </c>
      <c r="AH3" s="315" t="s">
        <v>348</v>
      </c>
      <c r="AK3" s="320">
        <v>43747</v>
      </c>
      <c r="AL3" s="320">
        <v>43747</v>
      </c>
      <c r="AO3" s="315" t="s">
        <v>371</v>
      </c>
      <c r="AP3" s="322">
        <v>36.980440000000002</v>
      </c>
      <c r="AQ3" s="322">
        <v>-122.03161</v>
      </c>
    </row>
    <row r="4" spans="1:44" s="315" customFormat="1" ht="15" x14ac:dyDescent="0.25">
      <c r="A4" s="323" t="s">
        <v>372</v>
      </c>
      <c r="B4" s="315" t="s">
        <v>373</v>
      </c>
      <c r="C4" s="315" t="s">
        <v>348</v>
      </c>
      <c r="D4" s="315" t="s">
        <v>349</v>
      </c>
      <c r="E4" s="315" t="s">
        <v>374</v>
      </c>
      <c r="F4" s="321">
        <f>SUM(F5:F10)</f>
        <v>54602</v>
      </c>
      <c r="G4" s="317"/>
      <c r="I4" s="318">
        <f>SUM(I5:I10)</f>
        <v>8695001</v>
      </c>
      <c r="J4" s="319">
        <f>I4/(3.2*43560)</f>
        <v>62.378048955463726</v>
      </c>
      <c r="K4" s="320">
        <v>43014</v>
      </c>
      <c r="L4" s="315" t="s">
        <v>351</v>
      </c>
      <c r="N4" s="317"/>
      <c r="O4" s="319"/>
      <c r="P4" s="319"/>
      <c r="Z4" s="321"/>
      <c r="AA4" s="321">
        <f>SUM(AA5:AA10)</f>
        <v>1.2535000000000001</v>
      </c>
      <c r="AB4" s="321">
        <f>SUM(AB5:AB10)</f>
        <v>54602</v>
      </c>
      <c r="AC4" s="321"/>
      <c r="AK4" s="320"/>
      <c r="AL4" s="320"/>
      <c r="AP4" s="322"/>
      <c r="AQ4" s="322"/>
    </row>
    <row r="5" spans="1:44" x14ac:dyDescent="0.2">
      <c r="A5" s="324" t="s">
        <v>375</v>
      </c>
      <c r="C5" t="s">
        <v>348</v>
      </c>
      <c r="D5" t="s">
        <v>349</v>
      </c>
      <c r="E5" t="s">
        <v>177</v>
      </c>
      <c r="F5" s="325">
        <v>6534</v>
      </c>
      <c r="G5" s="28">
        <v>4318</v>
      </c>
      <c r="H5" t="s">
        <v>366</v>
      </c>
      <c r="I5" s="326">
        <v>3184694</v>
      </c>
      <c r="J5" s="327">
        <f t="shared" ref="J5:J9" si="0">I5/AB5</f>
        <v>487.40342822161006</v>
      </c>
      <c r="K5" s="328">
        <v>43014</v>
      </c>
      <c r="L5" t="s">
        <v>351</v>
      </c>
      <c r="N5" s="28"/>
      <c r="O5" s="327"/>
      <c r="P5" s="327"/>
      <c r="Q5" t="s">
        <v>376</v>
      </c>
      <c r="R5" t="s">
        <v>377</v>
      </c>
      <c r="S5" t="s">
        <v>353</v>
      </c>
      <c r="T5" t="s">
        <v>368</v>
      </c>
      <c r="U5" t="s">
        <v>378</v>
      </c>
      <c r="V5" t="s">
        <v>379</v>
      </c>
      <c r="W5" t="s">
        <v>368</v>
      </c>
      <c r="X5" t="s">
        <v>380</v>
      </c>
      <c r="Y5" t="s">
        <v>381</v>
      </c>
      <c r="Z5" s="325"/>
      <c r="AA5" s="327">
        <v>0.15</v>
      </c>
      <c r="AB5" s="325">
        <v>6534</v>
      </c>
      <c r="AC5" s="325">
        <v>1</v>
      </c>
      <c r="AF5" t="s">
        <v>369</v>
      </c>
      <c r="AG5" t="s">
        <v>359</v>
      </c>
      <c r="AH5" t="s">
        <v>348</v>
      </c>
      <c r="AK5" s="328">
        <v>43014</v>
      </c>
      <c r="AL5" s="328">
        <v>43047</v>
      </c>
      <c r="AN5" t="s">
        <v>382</v>
      </c>
      <c r="AO5" t="s">
        <v>361</v>
      </c>
      <c r="AP5" s="329">
        <v>36.980664699999998</v>
      </c>
      <c r="AQ5" s="329">
        <v>-122.0212915</v>
      </c>
      <c r="AR5" t="s">
        <v>383</v>
      </c>
    </row>
    <row r="6" spans="1:44" ht="15" x14ac:dyDescent="0.25">
      <c r="A6" s="324" t="s">
        <v>384</v>
      </c>
      <c r="B6" s="330"/>
      <c r="C6" t="s">
        <v>348</v>
      </c>
      <c r="D6" t="s">
        <v>349</v>
      </c>
      <c r="E6" t="s">
        <v>385</v>
      </c>
      <c r="F6" s="325">
        <v>13068</v>
      </c>
      <c r="G6" s="28">
        <v>12254</v>
      </c>
      <c r="H6" t="s">
        <v>366</v>
      </c>
      <c r="I6" s="326">
        <v>1895000</v>
      </c>
      <c r="J6" s="327">
        <f>I6/AB6</f>
        <v>145.01071319253137</v>
      </c>
      <c r="K6" s="328">
        <v>43411</v>
      </c>
      <c r="L6" t="s">
        <v>351</v>
      </c>
      <c r="N6" s="28"/>
      <c r="O6" s="327"/>
      <c r="P6" s="327"/>
      <c r="R6" t="s">
        <v>377</v>
      </c>
      <c r="S6" t="s">
        <v>353</v>
      </c>
      <c r="U6" t="s">
        <v>386</v>
      </c>
      <c r="V6" t="s">
        <v>379</v>
      </c>
      <c r="X6" t="s">
        <v>387</v>
      </c>
      <c r="Y6" t="s">
        <v>381</v>
      </c>
      <c r="Z6" s="325"/>
      <c r="AA6" s="327">
        <v>0.3</v>
      </c>
      <c r="AB6" s="325">
        <v>13068</v>
      </c>
      <c r="AC6" s="325">
        <v>1</v>
      </c>
      <c r="AF6" t="s">
        <v>369</v>
      </c>
      <c r="AG6" t="s">
        <v>359</v>
      </c>
      <c r="AH6" t="s">
        <v>348</v>
      </c>
      <c r="AK6" s="328">
        <v>43411</v>
      </c>
      <c r="AL6" s="328">
        <v>43437</v>
      </c>
      <c r="AN6" t="s">
        <v>388</v>
      </c>
      <c r="AO6" t="s">
        <v>361</v>
      </c>
      <c r="AP6" s="329">
        <v>36.981150999999997</v>
      </c>
      <c r="AQ6" s="329">
        <v>-122.0213394</v>
      </c>
    </row>
    <row r="7" spans="1:44" x14ac:dyDescent="0.2">
      <c r="A7" s="324" t="s">
        <v>389</v>
      </c>
      <c r="C7" t="s">
        <v>348</v>
      </c>
      <c r="D7" t="s">
        <v>349</v>
      </c>
      <c r="E7" t="s">
        <v>177</v>
      </c>
      <c r="F7" s="325">
        <v>7405</v>
      </c>
      <c r="G7" s="28">
        <v>2064</v>
      </c>
      <c r="H7" t="s">
        <v>366</v>
      </c>
      <c r="I7" s="326">
        <v>1522281</v>
      </c>
      <c r="J7" s="327">
        <f t="shared" si="0"/>
        <v>205.57474679270763</v>
      </c>
      <c r="K7" s="328">
        <v>43014</v>
      </c>
      <c r="L7" t="s">
        <v>351</v>
      </c>
      <c r="N7" s="28"/>
      <c r="O7" s="327"/>
      <c r="P7" s="327"/>
      <c r="Q7" t="s">
        <v>376</v>
      </c>
      <c r="R7" t="s">
        <v>377</v>
      </c>
      <c r="S7" t="s">
        <v>353</v>
      </c>
      <c r="T7" t="s">
        <v>368</v>
      </c>
      <c r="U7" t="s">
        <v>378</v>
      </c>
      <c r="V7" t="s">
        <v>379</v>
      </c>
      <c r="W7" t="s">
        <v>368</v>
      </c>
      <c r="X7" t="s">
        <v>390</v>
      </c>
      <c r="Y7" t="s">
        <v>381</v>
      </c>
      <c r="Z7" s="325"/>
      <c r="AA7" s="327">
        <v>0.17</v>
      </c>
      <c r="AB7" s="325">
        <v>7405</v>
      </c>
      <c r="AC7" s="325">
        <v>1</v>
      </c>
      <c r="AF7" t="s">
        <v>369</v>
      </c>
      <c r="AG7" t="s">
        <v>359</v>
      </c>
      <c r="AH7" t="s">
        <v>348</v>
      </c>
      <c r="AK7" s="328">
        <v>43014</v>
      </c>
      <c r="AL7" s="328">
        <v>43047</v>
      </c>
      <c r="AN7" t="s">
        <v>382</v>
      </c>
      <c r="AO7" t="s">
        <v>361</v>
      </c>
      <c r="AP7" s="329">
        <v>36.981896999999996</v>
      </c>
      <c r="AQ7" s="329">
        <v>-122.02087280000001</v>
      </c>
      <c r="AR7" t="s">
        <v>383</v>
      </c>
    </row>
    <row r="8" spans="1:44" x14ac:dyDescent="0.2">
      <c r="A8" s="324" t="s">
        <v>391</v>
      </c>
      <c r="C8" t="s">
        <v>348</v>
      </c>
      <c r="D8" t="s">
        <v>349</v>
      </c>
      <c r="E8" t="s">
        <v>392</v>
      </c>
      <c r="F8" s="325">
        <v>9583</v>
      </c>
      <c r="G8" s="28">
        <v>2650</v>
      </c>
      <c r="H8" t="s">
        <v>366</v>
      </c>
      <c r="I8" s="326">
        <v>1371805</v>
      </c>
      <c r="J8" s="327">
        <f t="shared" si="0"/>
        <v>143.14984869038923</v>
      </c>
      <c r="K8" s="328">
        <v>43014</v>
      </c>
      <c r="L8" t="s">
        <v>351</v>
      </c>
      <c r="N8" s="28"/>
      <c r="O8" s="327"/>
      <c r="P8" s="327"/>
      <c r="Q8" t="s">
        <v>376</v>
      </c>
      <c r="R8" t="s">
        <v>377</v>
      </c>
      <c r="S8" t="s">
        <v>353</v>
      </c>
      <c r="T8" t="s">
        <v>368</v>
      </c>
      <c r="U8" t="s">
        <v>378</v>
      </c>
      <c r="V8" t="s">
        <v>379</v>
      </c>
      <c r="W8" t="s">
        <v>368</v>
      </c>
      <c r="Y8" t="s">
        <v>381</v>
      </c>
      <c r="Z8" s="325"/>
      <c r="AA8" s="327">
        <v>0.22</v>
      </c>
      <c r="AB8" s="325">
        <v>9583</v>
      </c>
      <c r="AC8" s="325">
        <v>1</v>
      </c>
      <c r="AE8" t="s">
        <v>393</v>
      </c>
      <c r="AF8" t="s">
        <v>369</v>
      </c>
      <c r="AG8" t="s">
        <v>359</v>
      </c>
      <c r="AH8" t="s">
        <v>348</v>
      </c>
      <c r="AK8" s="328">
        <v>43014</v>
      </c>
      <c r="AL8" s="328">
        <v>43047</v>
      </c>
      <c r="AN8" t="s">
        <v>382</v>
      </c>
      <c r="AO8" t="s">
        <v>361</v>
      </c>
      <c r="AP8" s="329">
        <v>36.981446400000003</v>
      </c>
      <c r="AQ8" s="329">
        <v>-122.0208939</v>
      </c>
      <c r="AR8" t="s">
        <v>383</v>
      </c>
    </row>
    <row r="9" spans="1:44" x14ac:dyDescent="0.2">
      <c r="A9" s="324" t="s">
        <v>394</v>
      </c>
      <c r="C9" t="s">
        <v>348</v>
      </c>
      <c r="D9" t="s">
        <v>349</v>
      </c>
      <c r="E9" t="s">
        <v>177</v>
      </c>
      <c r="F9" s="325">
        <v>6011</v>
      </c>
      <c r="G9" s="28">
        <v>495</v>
      </c>
      <c r="H9" t="s">
        <v>366</v>
      </c>
      <c r="I9" s="326">
        <v>365082</v>
      </c>
      <c r="J9" s="327">
        <f t="shared" si="0"/>
        <v>60.735651305939115</v>
      </c>
      <c r="K9" s="328">
        <v>43014</v>
      </c>
      <c r="L9" t="s">
        <v>351</v>
      </c>
      <c r="N9" s="28"/>
      <c r="O9" s="327"/>
      <c r="P9" s="327"/>
      <c r="Q9" t="s">
        <v>376</v>
      </c>
      <c r="R9" t="s">
        <v>377</v>
      </c>
      <c r="S9" t="s">
        <v>353</v>
      </c>
      <c r="T9" t="s">
        <v>368</v>
      </c>
      <c r="U9" t="s">
        <v>378</v>
      </c>
      <c r="V9" t="s">
        <v>379</v>
      </c>
      <c r="W9" t="s">
        <v>368</v>
      </c>
      <c r="X9" t="s">
        <v>390</v>
      </c>
      <c r="Y9" t="s">
        <v>381</v>
      </c>
      <c r="Z9" s="325"/>
      <c r="AA9" s="327">
        <v>0.13800000000000001</v>
      </c>
      <c r="AB9" s="325">
        <v>6011</v>
      </c>
      <c r="AC9" s="325">
        <v>1</v>
      </c>
      <c r="AF9" t="s">
        <v>369</v>
      </c>
      <c r="AG9" t="s">
        <v>359</v>
      </c>
      <c r="AH9" t="s">
        <v>348</v>
      </c>
      <c r="AK9" s="328">
        <v>43014</v>
      </c>
      <c r="AL9" s="328">
        <v>43047</v>
      </c>
      <c r="AN9" t="s">
        <v>382</v>
      </c>
      <c r="AO9" t="s">
        <v>361</v>
      </c>
      <c r="AP9" s="329">
        <v>36.980497800000002</v>
      </c>
      <c r="AQ9" s="329">
        <v>-122.0205878</v>
      </c>
      <c r="AR9" t="s">
        <v>383</v>
      </c>
    </row>
    <row r="10" spans="1:44" x14ac:dyDescent="0.2">
      <c r="A10" s="324" t="s">
        <v>395</v>
      </c>
      <c r="C10" t="s">
        <v>348</v>
      </c>
      <c r="D10" t="s">
        <v>349</v>
      </c>
      <c r="E10" t="s">
        <v>365</v>
      </c>
      <c r="F10" s="325">
        <v>12001</v>
      </c>
      <c r="G10" s="28"/>
      <c r="H10" t="s">
        <v>366</v>
      </c>
      <c r="I10" s="326">
        <v>356139</v>
      </c>
      <c r="J10" s="327">
        <f>I10/AB10</f>
        <v>29.675777018581783</v>
      </c>
      <c r="K10" s="328">
        <v>43014</v>
      </c>
      <c r="L10" t="s">
        <v>351</v>
      </c>
      <c r="N10" s="28"/>
      <c r="O10" s="327"/>
      <c r="P10" s="327"/>
      <c r="Q10" t="s">
        <v>376</v>
      </c>
      <c r="R10" t="s">
        <v>377</v>
      </c>
      <c r="S10" t="s">
        <v>353</v>
      </c>
      <c r="T10" t="s">
        <v>368</v>
      </c>
      <c r="U10" t="s">
        <v>378</v>
      </c>
      <c r="V10" t="s">
        <v>379</v>
      </c>
      <c r="W10" t="s">
        <v>368</v>
      </c>
      <c r="X10" t="s">
        <v>374</v>
      </c>
      <c r="Z10" s="325"/>
      <c r="AA10" s="327">
        <v>0.27550000000000002</v>
      </c>
      <c r="AB10" s="325">
        <v>12001</v>
      </c>
      <c r="AC10" s="325"/>
      <c r="AF10" t="s">
        <v>369</v>
      </c>
      <c r="AG10" t="s">
        <v>359</v>
      </c>
      <c r="AH10" t="s">
        <v>348</v>
      </c>
      <c r="AK10" s="328">
        <v>43014</v>
      </c>
      <c r="AL10" s="328">
        <v>43047</v>
      </c>
      <c r="AN10" t="s">
        <v>382</v>
      </c>
      <c r="AO10" t="s">
        <v>361</v>
      </c>
      <c r="AP10" s="329">
        <v>36.9812698</v>
      </c>
      <c r="AQ10" s="329">
        <v>-122.02085870000001</v>
      </c>
      <c r="AR10" t="s">
        <v>383</v>
      </c>
    </row>
    <row r="11" spans="1:44" s="315" customFormat="1" ht="15" x14ac:dyDescent="0.25">
      <c r="A11" s="315" t="s">
        <v>396</v>
      </c>
      <c r="B11" s="323" t="s">
        <v>347</v>
      </c>
      <c r="C11" s="315" t="s">
        <v>348</v>
      </c>
      <c r="D11" s="315" t="s">
        <v>349</v>
      </c>
      <c r="E11" s="315" t="s">
        <v>397</v>
      </c>
      <c r="F11" s="321">
        <v>4791</v>
      </c>
      <c r="G11" s="317">
        <v>2400</v>
      </c>
      <c r="H11" s="315" t="s">
        <v>366</v>
      </c>
      <c r="I11" s="318">
        <v>625000</v>
      </c>
      <c r="J11" s="319">
        <f>I11/F11</f>
        <v>130.45293258192444</v>
      </c>
      <c r="K11" s="320">
        <v>42341</v>
      </c>
      <c r="L11" s="315" t="s">
        <v>351</v>
      </c>
      <c r="N11" s="317">
        <v>699000</v>
      </c>
      <c r="O11" s="319">
        <v>7</v>
      </c>
      <c r="P11" s="319"/>
      <c r="Q11" s="315" t="s">
        <v>398</v>
      </c>
      <c r="W11" s="315" t="s">
        <v>399</v>
      </c>
      <c r="X11" s="315" t="s">
        <v>400</v>
      </c>
      <c r="Y11" s="315" t="s">
        <v>381</v>
      </c>
      <c r="Z11" s="321">
        <v>1935</v>
      </c>
      <c r="AA11" s="319">
        <v>0.11</v>
      </c>
      <c r="AB11" s="321">
        <v>4791</v>
      </c>
      <c r="AC11" s="321">
        <v>2</v>
      </c>
      <c r="AE11" s="315" t="s">
        <v>401</v>
      </c>
      <c r="AF11" s="315" t="s">
        <v>369</v>
      </c>
      <c r="AG11" s="315" t="s">
        <v>359</v>
      </c>
      <c r="AH11" s="315" t="s">
        <v>348</v>
      </c>
      <c r="AK11" s="320"/>
      <c r="AL11" s="320">
        <v>42341</v>
      </c>
      <c r="AN11" s="315" t="s">
        <v>360</v>
      </c>
      <c r="AO11" s="315" t="s">
        <v>361</v>
      </c>
      <c r="AP11" s="322">
        <v>36.967559100000003</v>
      </c>
      <c r="AQ11" s="322">
        <v>-122.024918</v>
      </c>
    </row>
    <row r="12" spans="1:44" s="315" customFormat="1" x14ac:dyDescent="0.2">
      <c r="A12" s="315" t="s">
        <v>402</v>
      </c>
      <c r="B12" s="315" t="s">
        <v>403</v>
      </c>
      <c r="C12" s="315" t="s">
        <v>348</v>
      </c>
      <c r="D12" s="315" t="s">
        <v>349</v>
      </c>
      <c r="E12" s="315" t="s">
        <v>365</v>
      </c>
      <c r="F12" s="321">
        <v>69696</v>
      </c>
      <c r="G12" s="317"/>
      <c r="H12" s="315" t="s">
        <v>350</v>
      </c>
      <c r="I12" s="318">
        <v>1600000</v>
      </c>
      <c r="J12" s="319">
        <f>(I12/(1.6*43560))</f>
        <v>22.956841138659321</v>
      </c>
      <c r="K12" s="320">
        <v>42333</v>
      </c>
      <c r="L12" s="315" t="s">
        <v>351</v>
      </c>
      <c r="N12" s="317">
        <v>1725000</v>
      </c>
      <c r="O12" s="319"/>
      <c r="P12" s="319"/>
      <c r="R12" s="315" t="s">
        <v>404</v>
      </c>
      <c r="S12" s="315" t="s">
        <v>353</v>
      </c>
      <c r="T12" s="315" t="s">
        <v>405</v>
      </c>
      <c r="U12" s="315" t="s">
        <v>406</v>
      </c>
      <c r="V12" s="315" t="s">
        <v>379</v>
      </c>
      <c r="W12" s="315" t="s">
        <v>407</v>
      </c>
      <c r="X12" s="315" t="s">
        <v>98</v>
      </c>
      <c r="Z12" s="321"/>
      <c r="AA12" s="319">
        <v>1.6</v>
      </c>
      <c r="AB12" s="321">
        <v>69696</v>
      </c>
      <c r="AC12" s="321"/>
      <c r="AD12" s="315" t="s">
        <v>408</v>
      </c>
      <c r="AF12" s="315" t="s">
        <v>369</v>
      </c>
      <c r="AG12" s="315" t="s">
        <v>409</v>
      </c>
      <c r="AH12" s="315" t="s">
        <v>348</v>
      </c>
      <c r="AK12" s="320">
        <v>42333</v>
      </c>
      <c r="AL12" s="320">
        <v>42353</v>
      </c>
      <c r="AN12" s="315" t="s">
        <v>360</v>
      </c>
      <c r="AO12" s="315" t="s">
        <v>361</v>
      </c>
      <c r="AP12" s="322">
        <v>36.981261000000003</v>
      </c>
      <c r="AQ12" s="322">
        <v>-121.9879681</v>
      </c>
      <c r="AR12" s="315" t="s">
        <v>410</v>
      </c>
    </row>
    <row r="13" spans="1:44" s="315" customFormat="1" x14ac:dyDescent="0.2">
      <c r="A13" s="315" t="s">
        <v>411</v>
      </c>
      <c r="B13" s="315" t="s">
        <v>412</v>
      </c>
      <c r="C13" s="315" t="s">
        <v>348</v>
      </c>
      <c r="D13" s="315" t="s">
        <v>349</v>
      </c>
      <c r="E13" s="315" t="s">
        <v>397</v>
      </c>
      <c r="F13" s="321">
        <v>52707</v>
      </c>
      <c r="G13" s="317">
        <v>13536</v>
      </c>
      <c r="H13" s="315" t="s">
        <v>366</v>
      </c>
      <c r="I13" s="318">
        <v>3724200</v>
      </c>
      <c r="J13" s="319">
        <f>I13/AB13</f>
        <v>70.658546303147588</v>
      </c>
      <c r="K13" s="320">
        <v>42324</v>
      </c>
      <c r="L13" s="315" t="s">
        <v>351</v>
      </c>
      <c r="N13" s="317"/>
      <c r="O13" s="319"/>
      <c r="P13" s="319"/>
      <c r="R13" s="315" t="s">
        <v>413</v>
      </c>
      <c r="S13" s="315" t="s">
        <v>353</v>
      </c>
      <c r="U13" s="315" t="s">
        <v>414</v>
      </c>
      <c r="V13" s="315" t="s">
        <v>353</v>
      </c>
      <c r="X13" s="315" t="s">
        <v>400</v>
      </c>
      <c r="Y13" s="315" t="s">
        <v>381</v>
      </c>
      <c r="Z13" s="321">
        <v>1940</v>
      </c>
      <c r="AA13" s="319">
        <v>1.21</v>
      </c>
      <c r="AB13" s="321">
        <v>52707</v>
      </c>
      <c r="AC13" s="321">
        <v>1</v>
      </c>
      <c r="AE13" s="315" t="s">
        <v>415</v>
      </c>
      <c r="AF13" s="315" t="s">
        <v>369</v>
      </c>
      <c r="AG13" s="315" t="s">
        <v>416</v>
      </c>
      <c r="AH13" s="315" t="s">
        <v>348</v>
      </c>
      <c r="AK13" s="320">
        <v>42324</v>
      </c>
      <c r="AL13" s="320">
        <v>42346</v>
      </c>
      <c r="AN13" s="315" t="s">
        <v>388</v>
      </c>
      <c r="AO13" s="315" t="s">
        <v>361</v>
      </c>
      <c r="AP13" s="322">
        <v>36.972550599999998</v>
      </c>
      <c r="AQ13" s="322">
        <v>-122.0174914</v>
      </c>
      <c r="AR13" s="315" t="s">
        <v>417</v>
      </c>
    </row>
    <row r="14" spans="1:44" s="315" customFormat="1" x14ac:dyDescent="0.2">
      <c r="A14" s="315" t="s">
        <v>418</v>
      </c>
      <c r="B14" s="315" t="s">
        <v>419</v>
      </c>
      <c r="C14" s="315" t="s">
        <v>348</v>
      </c>
      <c r="D14" s="315" t="s">
        <v>349</v>
      </c>
      <c r="E14" s="315" t="s">
        <v>365</v>
      </c>
      <c r="F14" s="321">
        <v>27007</v>
      </c>
      <c r="G14" s="317"/>
      <c r="H14" s="315" t="s">
        <v>350</v>
      </c>
      <c r="I14" s="318">
        <v>1550000</v>
      </c>
      <c r="J14" s="319">
        <f>I14/F14</f>
        <v>57.39252786314659</v>
      </c>
      <c r="K14" s="320"/>
      <c r="L14" s="315" t="s">
        <v>420</v>
      </c>
      <c r="N14" s="317">
        <v>1550000</v>
      </c>
      <c r="O14" s="319"/>
      <c r="P14" s="319"/>
      <c r="W14" s="315" t="s">
        <v>421</v>
      </c>
      <c r="X14" s="315" t="s">
        <v>98</v>
      </c>
      <c r="Z14" s="321"/>
      <c r="AA14" s="319">
        <v>0.62</v>
      </c>
      <c r="AB14" s="321">
        <v>27007</v>
      </c>
      <c r="AC14" s="321"/>
      <c r="AD14" s="315" t="s">
        <v>422</v>
      </c>
      <c r="AF14" s="315" t="s">
        <v>369</v>
      </c>
      <c r="AG14" s="315" t="s">
        <v>409</v>
      </c>
      <c r="AH14" s="315" t="s">
        <v>348</v>
      </c>
      <c r="AK14" s="320"/>
      <c r="AL14" s="320"/>
      <c r="AP14" s="322">
        <v>36.985629600000003</v>
      </c>
      <c r="AQ14" s="322">
        <v>-121.9836859</v>
      </c>
    </row>
    <row r="16" spans="1:44" x14ac:dyDescent="0.2">
      <c r="B16" s="331" t="s">
        <v>425</v>
      </c>
    </row>
    <row r="17" spans="1:2" s="331" customFormat="1" x14ac:dyDescent="0.2">
      <c r="A17" s="331" t="s">
        <v>423</v>
      </c>
      <c r="B17" s="331" t="s">
        <v>426</v>
      </c>
    </row>
    <row r="18" spans="1:2" x14ac:dyDescent="0.2">
      <c r="A18" s="331" t="s">
        <v>424</v>
      </c>
      <c r="B18" s="332">
        <v>65</v>
      </c>
    </row>
  </sheetData>
  <sheetProtection algorithmName="SHA-512" hashValue="muS1Hg12ibbUZuD7+Np3YchzapwGSOUZUJfjz1+UZaukp1UpT3VY0cmB48/NFyWr4Xqiw9AWirEF9ehjenvFfA==" saltValue="Dw/wD2bPWItI5DVwp6QyaA==" spinCount="10000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9" tint="-0.499984740745262"/>
  </sheetPr>
  <dimension ref="A1:O11"/>
  <sheetViews>
    <sheetView workbookViewId="0">
      <selection activeCell="B44" sqref="B44"/>
    </sheetView>
  </sheetViews>
  <sheetFormatPr defaultColWidth="9.140625" defaultRowHeight="15" x14ac:dyDescent="0.25"/>
  <cols>
    <col min="1" max="1" width="10" style="425" bestFit="1" customWidth="1"/>
    <col min="2" max="2" width="18.5703125" style="425" bestFit="1" customWidth="1"/>
    <col min="3" max="3" width="14.85546875" style="425" bestFit="1" customWidth="1"/>
    <col min="4" max="4" width="20.42578125" style="425" bestFit="1" customWidth="1"/>
    <col min="5" max="5" width="19.42578125" style="425" bestFit="1" customWidth="1"/>
    <col min="6" max="6" width="8.140625" style="425" bestFit="1" customWidth="1"/>
    <col min="7" max="7" width="12.85546875" style="426" bestFit="1" customWidth="1"/>
    <col min="8" max="8" width="12.85546875" style="426" customWidth="1"/>
    <col min="9" max="9" width="91.42578125" style="425" bestFit="1" customWidth="1"/>
    <col min="10" max="10" width="11.140625" style="425" bestFit="1" customWidth="1"/>
    <col min="11" max="11" width="12.140625" style="425" bestFit="1" customWidth="1"/>
    <col min="12" max="12" width="9.85546875" style="425" bestFit="1" customWidth="1"/>
    <col min="13" max="14" width="11.42578125" style="425" bestFit="1" customWidth="1"/>
    <col min="15" max="15" width="13.140625" style="425" bestFit="1" customWidth="1"/>
    <col min="16" max="16384" width="9.140625" style="425"/>
  </cols>
  <sheetData>
    <row r="1" spans="1:15" s="423" customFormat="1" x14ac:dyDescent="0.25">
      <c r="A1" s="423" t="s">
        <v>519</v>
      </c>
      <c r="B1" s="423" t="s">
        <v>520</v>
      </c>
      <c r="C1" s="423" t="s">
        <v>521</v>
      </c>
      <c r="D1" s="423" t="s">
        <v>522</v>
      </c>
      <c r="E1" s="423" t="s">
        <v>523</v>
      </c>
      <c r="F1" s="423" t="s">
        <v>524</v>
      </c>
      <c r="G1" s="424" t="s">
        <v>525</v>
      </c>
      <c r="H1" s="424" t="s">
        <v>526</v>
      </c>
      <c r="I1" s="423" t="s">
        <v>527</v>
      </c>
      <c r="J1" s="423" t="s">
        <v>528</v>
      </c>
      <c r="K1" s="423" t="s">
        <v>529</v>
      </c>
      <c r="L1" s="423" t="s">
        <v>530</v>
      </c>
      <c r="M1" s="423" t="s">
        <v>531</v>
      </c>
      <c r="N1" s="423" t="s">
        <v>532</v>
      </c>
      <c r="O1" s="423" t="s">
        <v>533</v>
      </c>
    </row>
    <row r="2" spans="1:15" x14ac:dyDescent="0.25">
      <c r="A2" s="425" t="s">
        <v>534</v>
      </c>
      <c r="B2" s="425" t="s">
        <v>535</v>
      </c>
      <c r="C2" s="425" t="s">
        <v>536</v>
      </c>
      <c r="D2" s="425" t="s">
        <v>537</v>
      </c>
      <c r="E2" s="425">
        <v>95062</v>
      </c>
      <c r="F2" s="425">
        <v>3724</v>
      </c>
      <c r="G2" s="426">
        <v>319950</v>
      </c>
      <c r="H2" s="426">
        <f t="shared" ref="H2:H8" si="0">G2/F2</f>
        <v>85.9156820622986</v>
      </c>
      <c r="I2" s="425" t="s">
        <v>538</v>
      </c>
      <c r="J2" s="425" t="s">
        <v>539</v>
      </c>
      <c r="K2" s="425" t="s">
        <v>540</v>
      </c>
      <c r="L2" s="425" t="s">
        <v>541</v>
      </c>
      <c r="M2" s="425" t="s">
        <v>542</v>
      </c>
      <c r="N2" s="425">
        <v>36.984151599999997</v>
      </c>
      <c r="O2" s="425">
        <v>-121.9999741</v>
      </c>
    </row>
    <row r="3" spans="1:15" x14ac:dyDescent="0.25">
      <c r="A3" s="425" t="s">
        <v>534</v>
      </c>
      <c r="B3" s="425" t="s">
        <v>543</v>
      </c>
      <c r="C3" s="425" t="s">
        <v>536</v>
      </c>
      <c r="D3" s="425" t="s">
        <v>544</v>
      </c>
      <c r="E3" s="425">
        <v>95060</v>
      </c>
      <c r="F3" s="425">
        <v>6926</v>
      </c>
      <c r="G3" s="426">
        <v>370000</v>
      </c>
      <c r="H3" s="426">
        <f t="shared" si="0"/>
        <v>53.421888535951489</v>
      </c>
      <c r="I3" s="425" t="s">
        <v>545</v>
      </c>
      <c r="J3" s="425" t="s">
        <v>539</v>
      </c>
      <c r="K3" s="425" t="s">
        <v>546</v>
      </c>
      <c r="L3" s="425" t="s">
        <v>541</v>
      </c>
      <c r="M3" s="425" t="s">
        <v>542</v>
      </c>
      <c r="N3" s="425">
        <v>36.976905299999999</v>
      </c>
      <c r="O3" s="425">
        <v>-122.036824</v>
      </c>
    </row>
    <row r="4" spans="1:15" x14ac:dyDescent="0.25">
      <c r="A4" s="425" t="s">
        <v>534</v>
      </c>
      <c r="B4" s="425" t="s">
        <v>547</v>
      </c>
      <c r="C4" s="425" t="s">
        <v>536</v>
      </c>
      <c r="D4" s="425" t="s">
        <v>548</v>
      </c>
      <c r="E4" s="425">
        <v>95060</v>
      </c>
      <c r="F4" s="425">
        <v>5140</v>
      </c>
      <c r="G4" s="426">
        <v>393000</v>
      </c>
      <c r="H4" s="426">
        <f t="shared" si="0"/>
        <v>76.459143968871601</v>
      </c>
      <c r="I4" s="425" t="s">
        <v>549</v>
      </c>
      <c r="J4" s="425" t="s">
        <v>539</v>
      </c>
      <c r="K4" s="425" t="s">
        <v>550</v>
      </c>
      <c r="L4" s="425" t="s">
        <v>541</v>
      </c>
      <c r="M4" s="425" t="s">
        <v>542</v>
      </c>
      <c r="N4" s="425">
        <v>36.985067000000001</v>
      </c>
      <c r="O4" s="425">
        <v>-122.01862</v>
      </c>
    </row>
    <row r="5" spans="1:15" x14ac:dyDescent="0.25">
      <c r="A5" s="425" t="s">
        <v>534</v>
      </c>
      <c r="B5" s="425" t="s">
        <v>551</v>
      </c>
      <c r="C5" s="425" t="s">
        <v>536</v>
      </c>
      <c r="D5" s="425" t="s">
        <v>552</v>
      </c>
      <c r="E5" s="425">
        <v>95060</v>
      </c>
      <c r="F5" s="425">
        <v>4966</v>
      </c>
      <c r="G5" s="426">
        <v>400000</v>
      </c>
      <c r="H5" s="426">
        <f t="shared" si="0"/>
        <v>80.547724526782119</v>
      </c>
      <c r="I5" s="425" t="s">
        <v>553</v>
      </c>
      <c r="J5" s="425" t="s">
        <v>539</v>
      </c>
      <c r="K5" s="425" t="s">
        <v>554</v>
      </c>
      <c r="L5" s="425" t="s">
        <v>541</v>
      </c>
      <c r="M5" s="425" t="s">
        <v>542</v>
      </c>
      <c r="N5" s="425">
        <v>36.983623399999999</v>
      </c>
      <c r="O5" s="425">
        <v>-122.0209258</v>
      </c>
    </row>
    <row r="6" spans="1:15" x14ac:dyDescent="0.25">
      <c r="A6" s="425" t="s">
        <v>534</v>
      </c>
      <c r="B6" s="425" t="s">
        <v>555</v>
      </c>
      <c r="C6" s="425" t="s">
        <v>536</v>
      </c>
      <c r="D6" s="425" t="s">
        <v>556</v>
      </c>
      <c r="E6" s="425">
        <v>95060</v>
      </c>
      <c r="F6" s="425">
        <v>5009</v>
      </c>
      <c r="G6" s="426">
        <v>410000</v>
      </c>
      <c r="H6" s="426">
        <f t="shared" si="0"/>
        <v>81.852665202635251</v>
      </c>
      <c r="I6" s="425" t="s">
        <v>557</v>
      </c>
      <c r="J6" s="425" t="s">
        <v>539</v>
      </c>
      <c r="K6" s="425" t="s">
        <v>558</v>
      </c>
      <c r="L6" s="425" t="s">
        <v>541</v>
      </c>
      <c r="M6" s="425" t="s">
        <v>542</v>
      </c>
      <c r="N6" s="425">
        <v>36.98348</v>
      </c>
      <c r="O6" s="425">
        <v>-122.01864500000001</v>
      </c>
    </row>
    <row r="7" spans="1:15" x14ac:dyDescent="0.25">
      <c r="A7" s="425" t="s">
        <v>534</v>
      </c>
      <c r="B7" s="425" t="s">
        <v>559</v>
      </c>
      <c r="C7" s="425" t="s">
        <v>536</v>
      </c>
      <c r="D7" s="425" t="s">
        <v>560</v>
      </c>
      <c r="E7" s="425">
        <v>95060</v>
      </c>
      <c r="F7" s="425">
        <v>4617</v>
      </c>
      <c r="G7" s="426">
        <v>570000</v>
      </c>
      <c r="H7" s="426">
        <f t="shared" si="0"/>
        <v>123.45679012345678</v>
      </c>
      <c r="I7" s="425" t="s">
        <v>561</v>
      </c>
      <c r="J7" s="425" t="s">
        <v>539</v>
      </c>
      <c r="K7" s="425" t="s">
        <v>562</v>
      </c>
      <c r="L7" s="425" t="s">
        <v>541</v>
      </c>
      <c r="M7" s="425" t="s">
        <v>542</v>
      </c>
      <c r="N7" s="425">
        <v>36.969645999999997</v>
      </c>
      <c r="O7" s="425">
        <v>-122.01776599999999</v>
      </c>
    </row>
    <row r="8" spans="1:15" x14ac:dyDescent="0.25">
      <c r="A8" s="425" t="s">
        <v>534</v>
      </c>
      <c r="B8" s="425" t="s">
        <v>563</v>
      </c>
      <c r="C8" s="425" t="s">
        <v>536</v>
      </c>
      <c r="D8" s="425" t="s">
        <v>564</v>
      </c>
      <c r="E8" s="425">
        <v>95060</v>
      </c>
      <c r="F8" s="425">
        <v>6460</v>
      </c>
      <c r="G8" s="426">
        <v>580000</v>
      </c>
      <c r="H8" s="426">
        <f t="shared" si="0"/>
        <v>89.783281733746136</v>
      </c>
      <c r="I8" s="425" t="s">
        <v>565</v>
      </c>
      <c r="J8" s="425" t="s">
        <v>539</v>
      </c>
      <c r="K8" s="425" t="s">
        <v>566</v>
      </c>
      <c r="L8" s="425" t="s">
        <v>541</v>
      </c>
      <c r="M8" s="425" t="s">
        <v>542</v>
      </c>
      <c r="N8" s="425">
        <v>36.973634500000003</v>
      </c>
      <c r="O8" s="425">
        <v>-122.0371542</v>
      </c>
    </row>
    <row r="10" spans="1:15" x14ac:dyDescent="0.25">
      <c r="G10" s="424" t="s">
        <v>567</v>
      </c>
      <c r="H10" s="424">
        <f>AVERAGEA(H2:H8)</f>
        <v>84.491025164820272</v>
      </c>
    </row>
    <row r="11" spans="1:15" x14ac:dyDescent="0.25">
      <c r="G11" s="426" t="s">
        <v>569</v>
      </c>
      <c r="H11" s="426">
        <f>MEDIAN(H2:H8)</f>
        <v>81.852665202635251</v>
      </c>
    </row>
  </sheetData>
  <sheetProtection algorithmName="SHA-512" hashValue="si5XUuXNZqOniC3Riq+kIDG2+q0H2TaeGzwVgQf3ezC8UmCXP8oRdo/ZRFcj4RWBNkRRTup6wnTo3E/CZr8iQQ==" saltValue="/hwQ01mZU3TUwYVz1TTjQA==" spinCount="100000" sheet="1" objects="1" scenarios="1"/>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2" tint="-9.9978637043366805E-2"/>
  </sheetPr>
  <dimension ref="A1"/>
  <sheetViews>
    <sheetView workbookViewId="0">
      <selection activeCell="B44" sqref="B44"/>
    </sheetView>
  </sheetViews>
  <sheetFormatPr defaultColWidth="11.42578125" defaultRowHeight="12" x14ac:dyDescent="0.2"/>
  <sheetData/>
  <sheetProtection algorithmName="SHA-512" hashValue="u3a14qD/eM3sRbPkQtpSZOFwb7kCEuqMIKeSS3+Ud1GQeKRCm4cagP/NigsWynEMBi/5tnyGmrgP3KMkuDF7zA==" saltValue="LdH1yr3rGNkKDXA0iiwFy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249977111117893"/>
  </sheetPr>
  <dimension ref="A2:P54"/>
  <sheetViews>
    <sheetView showGridLines="0" zoomScale="131" zoomScaleNormal="163" workbookViewId="0">
      <selection activeCell="N7" sqref="N7"/>
    </sheetView>
  </sheetViews>
  <sheetFormatPr defaultColWidth="9" defaultRowHeight="12" x14ac:dyDescent="0.2"/>
  <cols>
    <col min="1" max="1" width="9.140625" style="631" customWidth="1"/>
    <col min="2" max="2" width="1.85546875" style="631" customWidth="1"/>
    <col min="3" max="3" width="33.42578125" style="631" customWidth="1"/>
    <col min="4" max="4" width="16" style="631" customWidth="1"/>
    <col min="5" max="5" width="1.85546875" style="631" customWidth="1"/>
    <col min="6" max="6" width="2" style="631" customWidth="1"/>
    <col min="7" max="7" width="1.85546875" style="631" customWidth="1"/>
    <col min="8" max="8" width="34.85546875" style="631" customWidth="1"/>
    <col min="9" max="9" width="15.85546875" style="631" customWidth="1"/>
    <col min="10" max="10" width="1.85546875" style="631" customWidth="1"/>
    <col min="11" max="12" width="2" style="631" customWidth="1"/>
    <col min="13" max="13" width="38" style="631" customWidth="1"/>
    <col min="14" max="14" width="16" style="631" customWidth="1"/>
    <col min="15" max="15" width="1.5703125" style="631" customWidth="1"/>
    <col min="16" max="16384" width="9" style="631"/>
  </cols>
  <sheetData>
    <row r="2" spans="1:16" s="627" customFormat="1" ht="27.75" x14ac:dyDescent="0.2">
      <c r="B2" s="628" t="s">
        <v>724</v>
      </c>
      <c r="C2" s="629"/>
      <c r="D2" s="630"/>
      <c r="E2" s="630"/>
      <c r="F2" s="630"/>
      <c r="G2" s="630"/>
      <c r="H2" s="630"/>
      <c r="I2" s="630"/>
      <c r="J2" s="630"/>
      <c r="K2" s="630"/>
      <c r="L2" s="630"/>
      <c r="M2" s="630"/>
      <c r="N2" s="630"/>
      <c r="O2" s="630"/>
    </row>
    <row r="3" spans="1:16" ht="9.75" customHeight="1" thickBot="1" x14ac:dyDescent="0.25">
      <c r="A3" s="627"/>
      <c r="B3" s="627"/>
      <c r="C3" s="627"/>
      <c r="D3" s="627"/>
      <c r="E3" s="627"/>
      <c r="F3" s="627"/>
      <c r="G3" s="627"/>
      <c r="L3" s="627"/>
      <c r="M3" s="627"/>
      <c r="N3" s="627"/>
      <c r="O3" s="627"/>
      <c r="P3" s="627"/>
    </row>
    <row r="4" spans="1:16" ht="8.25" customHeight="1" x14ac:dyDescent="0.2">
      <c r="B4" s="632"/>
      <c r="C4" s="633"/>
      <c r="D4" s="633"/>
      <c r="E4" s="634"/>
      <c r="G4" s="635"/>
      <c r="H4" s="636"/>
      <c r="I4" s="636"/>
      <c r="J4" s="637"/>
      <c r="L4" s="638"/>
      <c r="M4" s="639"/>
      <c r="N4" s="639"/>
      <c r="O4" s="640"/>
    </row>
    <row r="5" spans="1:16" ht="20.25" x14ac:dyDescent="0.3">
      <c r="B5" s="641"/>
      <c r="C5" s="642" t="s">
        <v>703</v>
      </c>
      <c r="D5" s="643"/>
      <c r="E5" s="644"/>
      <c r="F5" s="645"/>
      <c r="G5" s="646"/>
      <c r="H5" s="729" t="s">
        <v>704</v>
      </c>
      <c r="I5" s="729"/>
      <c r="J5" s="647"/>
      <c r="K5" s="648"/>
      <c r="L5" s="649"/>
      <c r="M5" s="728" t="s">
        <v>695</v>
      </c>
      <c r="N5" s="728"/>
      <c r="O5" s="650"/>
    </row>
    <row r="6" spans="1:16" x14ac:dyDescent="0.2">
      <c r="B6" s="651"/>
      <c r="C6" s="652"/>
      <c r="D6" s="653"/>
      <c r="E6" s="654"/>
      <c r="F6" s="655"/>
      <c r="G6" s="656"/>
      <c r="H6" s="657"/>
      <c r="I6" s="657"/>
      <c r="J6" s="658"/>
      <c r="L6" s="659"/>
      <c r="M6" s="660"/>
      <c r="N6" s="660"/>
      <c r="O6" s="650"/>
    </row>
    <row r="7" spans="1:16" ht="12.75" customHeight="1" x14ac:dyDescent="0.2">
      <c r="B7" s="651"/>
      <c r="C7" s="734" t="s">
        <v>746</v>
      </c>
      <c r="D7" s="734"/>
      <c r="E7" s="654"/>
      <c r="F7" s="655"/>
      <c r="G7" s="661"/>
      <c r="H7" s="662" t="s">
        <v>731</v>
      </c>
      <c r="I7" s="657"/>
      <c r="J7" s="663"/>
      <c r="L7" s="659"/>
      <c r="M7" s="664" t="s">
        <v>611</v>
      </c>
      <c r="N7" s="665" t="str">
        <f>IF(N8&gt;=5.495%, "Likely", IF(N8&gt;5%,"Somewhat Likely","Not Likely"))</f>
        <v>Somewhat Likely</v>
      </c>
      <c r="O7" s="666"/>
    </row>
    <row r="8" spans="1:16" ht="12.75" x14ac:dyDescent="0.2">
      <c r="B8" s="651"/>
      <c r="C8" s="734"/>
      <c r="D8" s="734"/>
      <c r="E8" s="654"/>
      <c r="F8" s="655"/>
      <c r="G8" s="656"/>
      <c r="H8" s="667" t="s">
        <v>730</v>
      </c>
      <c r="I8" s="665">
        <f>'3. Prototypes'!C12</f>
        <v>4.1953118304254664</v>
      </c>
      <c r="J8" s="658"/>
      <c r="L8" s="659"/>
      <c r="M8" s="664" t="s">
        <v>726</v>
      </c>
      <c r="N8" s="668">
        <f>'4. Pro Forma'!I65</f>
        <v>5.2146494426127725E-2</v>
      </c>
      <c r="O8" s="666"/>
    </row>
    <row r="9" spans="1:16" ht="13.5" thickBot="1" x14ac:dyDescent="0.25">
      <c r="B9" s="651"/>
      <c r="C9" s="734"/>
      <c r="D9" s="734"/>
      <c r="E9" s="654"/>
      <c r="F9" s="655"/>
      <c r="G9" s="656"/>
      <c r="H9" s="667" t="s">
        <v>729</v>
      </c>
      <c r="I9" s="665">
        <f>'3. Prototypes'!C3</f>
        <v>1.29</v>
      </c>
      <c r="J9" s="658"/>
      <c r="L9" s="659"/>
      <c r="M9" s="664" t="s">
        <v>641</v>
      </c>
      <c r="N9" s="669">
        <f>'4. Pro Forma'!I23</f>
        <v>420078.84705882351</v>
      </c>
      <c r="O9" s="666"/>
    </row>
    <row r="10" spans="1:16" s="670" customFormat="1" ht="15.75" thickBot="1" x14ac:dyDescent="0.25">
      <c r="B10" s="671"/>
      <c r="C10" s="672" t="s">
        <v>706</v>
      </c>
      <c r="D10" s="625">
        <v>5</v>
      </c>
      <c r="E10" s="673"/>
      <c r="F10" s="674"/>
      <c r="G10" s="656"/>
      <c r="H10" s="657"/>
      <c r="I10" s="657"/>
      <c r="J10" s="658"/>
      <c r="L10" s="659"/>
      <c r="M10" s="675"/>
      <c r="N10" s="676"/>
      <c r="O10" s="666"/>
    </row>
    <row r="11" spans="1:16" s="670" customFormat="1" ht="15.75" thickBot="1" x14ac:dyDescent="0.25">
      <c r="B11" s="671"/>
      <c r="C11" s="677"/>
      <c r="D11" s="678"/>
      <c r="E11" s="673"/>
      <c r="F11" s="674"/>
      <c r="G11" s="656"/>
      <c r="H11" s="662" t="s">
        <v>98</v>
      </c>
      <c r="I11" s="679"/>
      <c r="J11" s="658"/>
      <c r="L11" s="659"/>
      <c r="M11" s="664" t="s">
        <v>607</v>
      </c>
      <c r="N11" s="669">
        <f>'4. Pro Forma'!I55</f>
        <v>342369.15053401311</v>
      </c>
      <c r="O11" s="666"/>
    </row>
    <row r="12" spans="1:16" s="670" customFormat="1" ht="12.95" customHeight="1" x14ac:dyDescent="0.2">
      <c r="B12" s="671"/>
      <c r="C12" s="738" t="s">
        <v>747</v>
      </c>
      <c r="D12" s="735" t="s">
        <v>708</v>
      </c>
      <c r="E12" s="673"/>
      <c r="F12" s="674"/>
      <c r="G12" s="656"/>
      <c r="H12" s="680" t="s">
        <v>96</v>
      </c>
      <c r="I12" s="681">
        <f>'3. Prototypes'!C86</f>
        <v>215</v>
      </c>
      <c r="J12" s="658"/>
      <c r="L12" s="659"/>
      <c r="M12" s="664" t="s">
        <v>723</v>
      </c>
      <c r="N12" s="669">
        <f>IF(N7="Likely","Market-Rate",'7. Revenue Assumptions'!K9)</f>
        <v>2270.3798034777856</v>
      </c>
      <c r="O12" s="666"/>
    </row>
    <row r="13" spans="1:16" s="670" customFormat="1" ht="13.5" thickBot="1" x14ac:dyDescent="0.25">
      <c r="B13" s="671"/>
      <c r="C13" s="738"/>
      <c r="D13" s="736"/>
      <c r="E13" s="673"/>
      <c r="F13" s="674"/>
      <c r="G13" s="656"/>
      <c r="H13" s="680" t="s">
        <v>601</v>
      </c>
      <c r="I13" s="681">
        <f>'3. Prototypes'!C87</f>
        <v>166.66666666666666</v>
      </c>
      <c r="J13" s="658"/>
      <c r="L13" s="659"/>
      <c r="M13" s="664" t="s">
        <v>722</v>
      </c>
      <c r="N13" s="669" t="str">
        <f>IF(N12="Market-Rate","No","Yes")</f>
        <v>Yes</v>
      </c>
      <c r="O13" s="666"/>
    </row>
    <row r="14" spans="1:16" ht="13.5" thickBot="1" x14ac:dyDescent="0.25">
      <c r="B14" s="671"/>
      <c r="C14" s="677"/>
      <c r="D14" s="682"/>
      <c r="E14" s="673"/>
      <c r="F14" s="655"/>
      <c r="G14" s="656"/>
      <c r="H14" s="667" t="s">
        <v>10</v>
      </c>
      <c r="I14" s="681">
        <f>'3. Prototypes'!C17</f>
        <v>500</v>
      </c>
      <c r="J14" s="658"/>
      <c r="L14" s="659"/>
      <c r="M14" s="683"/>
      <c r="N14" s="683"/>
      <c r="O14" s="666"/>
    </row>
    <row r="15" spans="1:16" ht="12.75" customHeight="1" x14ac:dyDescent="0.2">
      <c r="B15" s="671"/>
      <c r="C15" s="672" t="s">
        <v>720</v>
      </c>
      <c r="D15" s="732" t="s">
        <v>642</v>
      </c>
      <c r="E15" s="673"/>
      <c r="F15" s="655"/>
      <c r="G15" s="656"/>
      <c r="H15" s="667"/>
      <c r="I15" s="679"/>
      <c r="J15" s="684"/>
      <c r="L15" s="659"/>
      <c r="M15" s="683"/>
      <c r="N15" s="683"/>
      <c r="O15" s="666"/>
    </row>
    <row r="16" spans="1:16" ht="15" customHeight="1" thickBot="1" x14ac:dyDescent="0.25">
      <c r="B16" s="671"/>
      <c r="C16" s="677"/>
      <c r="D16" s="733"/>
      <c r="E16" s="673"/>
      <c r="F16" s="655"/>
      <c r="G16" s="685"/>
      <c r="H16" s="662" t="s">
        <v>177</v>
      </c>
      <c r="I16" s="679"/>
      <c r="J16" s="658"/>
      <c r="L16" s="659"/>
      <c r="M16" s="683"/>
      <c r="N16" s="683"/>
      <c r="O16" s="666"/>
    </row>
    <row r="17" spans="1:15" ht="14.25" customHeight="1" thickBot="1" x14ac:dyDescent="0.25">
      <c r="B17" s="671"/>
      <c r="C17" s="672" t="s">
        <v>651</v>
      </c>
      <c r="D17" s="682"/>
      <c r="E17" s="686"/>
      <c r="F17" s="655"/>
      <c r="G17" s="656"/>
      <c r="H17" s="680" t="s">
        <v>645</v>
      </c>
      <c r="I17" s="687">
        <f>'3. Prototypes'!C23</f>
        <v>21470</v>
      </c>
      <c r="J17" s="684"/>
      <c r="L17" s="659"/>
      <c r="M17" s="683"/>
      <c r="N17" s="683"/>
      <c r="O17" s="650"/>
    </row>
    <row r="18" spans="1:15" ht="13.5" customHeight="1" thickBot="1" x14ac:dyDescent="0.25">
      <c r="B18" s="671"/>
      <c r="C18" s="688" t="s">
        <v>721</v>
      </c>
      <c r="D18" s="625">
        <v>0.5</v>
      </c>
      <c r="E18" s="673"/>
      <c r="F18" s="655"/>
      <c r="G18" s="685"/>
      <c r="H18" s="689"/>
      <c r="I18" s="679"/>
      <c r="J18" s="684"/>
      <c r="L18" s="659"/>
      <c r="M18" s="683"/>
      <c r="N18" s="683"/>
      <c r="O18" s="650"/>
    </row>
    <row r="19" spans="1:15" ht="15.75" thickBot="1" x14ac:dyDescent="0.25">
      <c r="B19" s="671"/>
      <c r="C19" s="688" t="s">
        <v>732</v>
      </c>
      <c r="D19" s="625">
        <v>0</v>
      </c>
      <c r="E19" s="673"/>
      <c r="F19" s="655"/>
      <c r="G19" s="685"/>
      <c r="H19" s="690" t="s">
        <v>0</v>
      </c>
      <c r="I19" s="691"/>
      <c r="J19" s="684"/>
      <c r="L19" s="692"/>
      <c r="M19" s="660"/>
      <c r="N19" s="660"/>
      <c r="O19" s="650"/>
    </row>
    <row r="20" spans="1:15" ht="12.75" customHeight="1" x14ac:dyDescent="0.2">
      <c r="B20" s="671"/>
      <c r="C20" s="677"/>
      <c r="D20" s="677"/>
      <c r="E20" s="673"/>
      <c r="F20" s="655"/>
      <c r="G20" s="656"/>
      <c r="H20" s="739" t="s">
        <v>583</v>
      </c>
      <c r="I20" s="730" t="str">
        <f>'3. Prototypes'!C44</f>
        <v>Podium</v>
      </c>
      <c r="J20" s="658"/>
      <c r="L20" s="692"/>
      <c r="M20" s="660"/>
      <c r="N20" s="660"/>
      <c r="O20" s="650"/>
    </row>
    <row r="21" spans="1:15" ht="12.75" thickBot="1" x14ac:dyDescent="0.25">
      <c r="B21" s="693"/>
      <c r="C21" s="694"/>
      <c r="D21" s="694"/>
      <c r="E21" s="695"/>
      <c r="F21" s="655"/>
      <c r="G21" s="656"/>
      <c r="H21" s="739"/>
      <c r="I21" s="731"/>
      <c r="J21" s="658"/>
      <c r="L21" s="692"/>
      <c r="M21" s="660"/>
      <c r="N21" s="660"/>
      <c r="O21" s="650"/>
    </row>
    <row r="22" spans="1:15" ht="12.75" x14ac:dyDescent="0.2">
      <c r="F22" s="655"/>
      <c r="G22" s="656"/>
      <c r="H22" s="696" t="s">
        <v>595</v>
      </c>
      <c r="I22" s="697">
        <f>'3. Prototypes'!C83</f>
        <v>108</v>
      </c>
      <c r="J22" s="684"/>
      <c r="L22" s="692"/>
      <c r="M22" s="660"/>
      <c r="N22" s="660"/>
      <c r="O22" s="650"/>
    </row>
    <row r="23" spans="1:15" ht="12.75" customHeight="1" x14ac:dyDescent="0.2">
      <c r="B23" s="698" t="s">
        <v>705</v>
      </c>
      <c r="C23" s="699"/>
      <c r="D23" s="699"/>
      <c r="E23" s="699"/>
      <c r="F23" s="700"/>
      <c r="G23" s="685"/>
      <c r="H23" s="680" t="s">
        <v>610</v>
      </c>
      <c r="I23" s="701">
        <f>'3. Prototypes'!C80</f>
        <v>108</v>
      </c>
      <c r="J23" s="684"/>
      <c r="L23" s="692"/>
      <c r="M23" s="660"/>
      <c r="N23" s="660"/>
      <c r="O23" s="650"/>
    </row>
    <row r="24" spans="1:15" ht="12.75" customHeight="1" x14ac:dyDescent="0.2">
      <c r="A24" s="702"/>
      <c r="B24" s="737" t="s">
        <v>750</v>
      </c>
      <c r="C24" s="737"/>
      <c r="D24" s="737"/>
      <c r="E24" s="703"/>
      <c r="F24" s="700"/>
      <c r="G24" s="685"/>
      <c r="H24" s="680" t="s">
        <v>725</v>
      </c>
      <c r="I24" s="681">
        <f>'3. Prototypes'!C81</f>
        <v>0</v>
      </c>
      <c r="J24" s="684"/>
      <c r="L24" s="692"/>
      <c r="M24" s="660"/>
      <c r="N24" s="660"/>
      <c r="O24" s="650"/>
    </row>
    <row r="25" spans="1:15" ht="12.75" customHeight="1" x14ac:dyDescent="0.2">
      <c r="A25" s="702"/>
      <c r="B25" s="737"/>
      <c r="C25" s="737"/>
      <c r="D25" s="737"/>
      <c r="E25" s="703"/>
      <c r="F25" s="700"/>
      <c r="G25" s="685"/>
      <c r="H25" s="689"/>
      <c r="I25" s="679"/>
      <c r="J25" s="658"/>
      <c r="L25" s="692"/>
      <c r="M25" s="660"/>
      <c r="N25" s="660"/>
      <c r="O25" s="650"/>
    </row>
    <row r="26" spans="1:15" ht="15" x14ac:dyDescent="0.2">
      <c r="A26" s="702"/>
      <c r="B26" s="737" t="s">
        <v>733</v>
      </c>
      <c r="C26" s="737"/>
      <c r="D26" s="737"/>
      <c r="E26" s="737"/>
      <c r="F26" s="627"/>
      <c r="G26" s="685"/>
      <c r="H26" s="662" t="s">
        <v>596</v>
      </c>
      <c r="I26" s="679"/>
      <c r="J26" s="684"/>
      <c r="L26" s="692"/>
      <c r="M26" s="660"/>
      <c r="N26" s="660"/>
      <c r="O26" s="650"/>
    </row>
    <row r="27" spans="1:15" ht="13.5" customHeight="1" x14ac:dyDescent="0.2">
      <c r="A27" s="702"/>
      <c r="B27" s="737"/>
      <c r="C27" s="737"/>
      <c r="D27" s="737"/>
      <c r="E27" s="737"/>
      <c r="F27" s="704"/>
      <c r="G27" s="705"/>
      <c r="H27" s="680" t="s">
        <v>719</v>
      </c>
      <c r="I27" s="706">
        <f>'7. Revenue Assumptions'!D9</f>
        <v>2125</v>
      </c>
      <c r="J27" s="684"/>
      <c r="K27" s="704"/>
      <c r="L27" s="692"/>
      <c r="M27" s="660"/>
      <c r="N27" s="660"/>
      <c r="O27" s="650"/>
    </row>
    <row r="28" spans="1:15" ht="12" customHeight="1" x14ac:dyDescent="0.2">
      <c r="A28" s="702"/>
      <c r="B28" s="737"/>
      <c r="C28" s="737"/>
      <c r="D28" s="737"/>
      <c r="E28" s="737"/>
      <c r="F28" s="704"/>
      <c r="G28" s="705"/>
      <c r="H28" s="662"/>
      <c r="I28" s="679"/>
      <c r="J28" s="684"/>
      <c r="K28" s="704"/>
      <c r="L28" s="692"/>
      <c r="M28" s="660"/>
      <c r="N28" s="660"/>
      <c r="O28" s="650"/>
    </row>
    <row r="29" spans="1:15" ht="12.75" customHeight="1" thickBot="1" x14ac:dyDescent="0.25">
      <c r="B29" s="737" t="s">
        <v>735</v>
      </c>
      <c r="C29" s="737"/>
      <c r="D29" s="737"/>
      <c r="E29" s="737"/>
      <c r="G29" s="707"/>
      <c r="H29" s="708"/>
      <c r="I29" s="708"/>
      <c r="J29" s="709"/>
      <c r="K29" s="704"/>
      <c r="L29" s="710"/>
      <c r="M29" s="711"/>
      <c r="N29" s="711"/>
      <c r="O29" s="712"/>
    </row>
    <row r="30" spans="1:15" x14ac:dyDescent="0.2">
      <c r="B30" s="737"/>
      <c r="C30" s="737"/>
      <c r="D30" s="737"/>
      <c r="E30" s="737"/>
    </row>
    <row r="31" spans="1:15" x14ac:dyDescent="0.2">
      <c r="B31" s="737"/>
      <c r="C31" s="737"/>
      <c r="D31" s="737"/>
      <c r="E31" s="737"/>
      <c r="G31" s="713"/>
      <c r="H31" s="714"/>
      <c r="L31" s="713"/>
      <c r="M31" s="714"/>
    </row>
    <row r="32" spans="1:15" ht="12" customHeight="1" x14ac:dyDescent="0.2">
      <c r="B32" s="737"/>
      <c r="C32" s="737"/>
      <c r="D32" s="737"/>
      <c r="E32" s="737"/>
    </row>
    <row r="33" spans="1:8" x14ac:dyDescent="0.2">
      <c r="B33" s="737"/>
      <c r="C33" s="737"/>
      <c r="D33" s="737"/>
      <c r="E33" s="737"/>
    </row>
    <row r="34" spans="1:8" x14ac:dyDescent="0.2">
      <c r="B34" s="737" t="s">
        <v>734</v>
      </c>
      <c r="C34" s="737"/>
      <c r="D34" s="737"/>
      <c r="E34" s="737"/>
    </row>
    <row r="35" spans="1:8" x14ac:dyDescent="0.2">
      <c r="B35" s="737"/>
      <c r="C35" s="737"/>
      <c r="D35" s="737"/>
      <c r="E35" s="737"/>
    </row>
    <row r="40" spans="1:8" x14ac:dyDescent="0.2">
      <c r="A40" s="715"/>
      <c r="F40" s="715"/>
      <c r="G40" s="715"/>
    </row>
    <row r="41" spans="1:8" x14ac:dyDescent="0.2">
      <c r="A41" s="715"/>
      <c r="F41" s="715"/>
      <c r="G41" s="715"/>
    </row>
    <row r="42" spans="1:8" x14ac:dyDescent="0.2">
      <c r="A42" s="715"/>
      <c r="F42" s="715"/>
      <c r="G42" s="715"/>
    </row>
    <row r="43" spans="1:8" x14ac:dyDescent="0.2">
      <c r="A43" s="715"/>
      <c r="F43" s="715"/>
      <c r="G43" s="715"/>
    </row>
    <row r="44" spans="1:8" x14ac:dyDescent="0.2">
      <c r="A44" s="715"/>
      <c r="F44" s="715"/>
      <c r="G44" s="715"/>
    </row>
    <row r="45" spans="1:8" x14ac:dyDescent="0.2">
      <c r="A45" s="715"/>
      <c r="F45" s="715"/>
      <c r="G45" s="715"/>
    </row>
    <row r="46" spans="1:8" x14ac:dyDescent="0.2">
      <c r="A46" s="715"/>
      <c r="F46" s="715"/>
      <c r="G46" s="715"/>
    </row>
    <row r="47" spans="1:8" x14ac:dyDescent="0.2">
      <c r="A47" s="715"/>
      <c r="F47" s="715"/>
      <c r="G47" s="715"/>
    </row>
    <row r="48" spans="1:8" x14ac:dyDescent="0.2">
      <c r="A48" s="715"/>
      <c r="F48" s="715"/>
      <c r="G48" s="715"/>
      <c r="H48" s="715"/>
    </row>
    <row r="49" spans="1:8" x14ac:dyDescent="0.2">
      <c r="A49" s="715"/>
      <c r="F49" s="715"/>
      <c r="G49" s="715"/>
      <c r="H49" s="715"/>
    </row>
    <row r="50" spans="1:8" x14ac:dyDescent="0.2">
      <c r="A50" s="715"/>
      <c r="F50" s="715"/>
      <c r="G50" s="715"/>
      <c r="H50" s="715"/>
    </row>
    <row r="51" spans="1:8" x14ac:dyDescent="0.2">
      <c r="A51" s="715"/>
      <c r="F51" s="715"/>
      <c r="G51" s="715"/>
      <c r="H51" s="715"/>
    </row>
    <row r="52" spans="1:8" x14ac:dyDescent="0.2">
      <c r="A52" s="715"/>
      <c r="F52" s="715"/>
      <c r="G52" s="715"/>
      <c r="H52" s="715"/>
    </row>
    <row r="53" spans="1:8" x14ac:dyDescent="0.2">
      <c r="A53" s="715"/>
      <c r="F53" s="715"/>
      <c r="G53" s="715"/>
      <c r="H53" s="715"/>
    </row>
    <row r="54" spans="1:8" x14ac:dyDescent="0.2">
      <c r="A54" s="715"/>
      <c r="F54" s="715"/>
      <c r="G54" s="715"/>
      <c r="H54" s="715"/>
    </row>
  </sheetData>
  <sheetProtection algorithmName="SHA-512" hashValue="XRSxHnqkxydSR0zIBr3fDX6aGOnBiIye0RUbiXBs+EhE6sl3EaAuxOQN4Nno/ivNCnQXeKbUBcOvCTIWVdTWyA==" saltValue="BAGtUmAx07IN/ZFcC0E6rA==" spinCount="100000" sheet="1" objects="1" scenarios="1"/>
  <mergeCells count="12">
    <mergeCell ref="B34:E35"/>
    <mergeCell ref="B24:D25"/>
    <mergeCell ref="C12:C13"/>
    <mergeCell ref="H20:H21"/>
    <mergeCell ref="B26:E28"/>
    <mergeCell ref="B29:E33"/>
    <mergeCell ref="M5:N5"/>
    <mergeCell ref="H5:I5"/>
    <mergeCell ref="I20:I21"/>
    <mergeCell ref="D15:D16"/>
    <mergeCell ref="C7:D9"/>
    <mergeCell ref="D12:D13"/>
  </mergeCells>
  <conditionalFormatting sqref="N7">
    <cfRule type="cellIs" dxfId="30" priority="14" operator="equal">
      <formula>"Somewhat Likely"</formula>
    </cfRule>
    <cfRule type="cellIs" dxfId="29" priority="15" operator="equal">
      <formula>"Not Likely"</formula>
    </cfRule>
    <cfRule type="cellIs" dxfId="28" priority="17" operator="equal">
      <formula>"Likely"</formula>
    </cfRule>
  </conditionalFormatting>
  <conditionalFormatting sqref="I8">
    <cfRule type="cellIs" dxfId="27" priority="13" operator="greaterThan">
      <formula>2.75</formula>
    </cfRule>
  </conditionalFormatting>
  <conditionalFormatting sqref="N13">
    <cfRule type="cellIs" dxfId="26" priority="11" operator="equal">
      <formula>"No"</formula>
    </cfRule>
    <cfRule type="cellIs" dxfId="25" priority="12" operator="equal">
      <formula>"Yes"</formula>
    </cfRule>
  </conditionalFormatting>
  <conditionalFormatting sqref="D19 I17">
    <cfRule type="expression" dxfId="24" priority="7">
      <formula>$D$12="100% Residential"</formula>
    </cfRule>
  </conditionalFormatting>
  <conditionalFormatting sqref="D12">
    <cfRule type="containsText" dxfId="23" priority="4" operator="containsText" text="None">
      <formula>NOT(ISERROR(SEARCH("None",D12)))</formula>
    </cfRule>
  </conditionalFormatting>
  <conditionalFormatting sqref="I22">
    <cfRule type="cellIs" dxfId="22" priority="2" operator="equal">
      <formula>0</formula>
    </cfRule>
  </conditionalFormatting>
  <conditionalFormatting sqref="N12">
    <cfRule type="expression" dxfId="21" priority="18">
      <formula>$N$13="Yes"</formula>
    </cfRule>
  </conditionalFormatting>
  <conditionalFormatting sqref="I24">
    <cfRule type="cellIs" dxfId="20" priority="1" operator="between">
      <formula>0.1</formula>
      <formula>10</formula>
    </cfRule>
  </conditionalFormatting>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'2. Dropdowns'!$D$4:$D$9</xm:f>
          </x14:formula1>
          <xm:sqref>D18</xm:sqref>
        </x14:dataValidation>
        <x14:dataValidation type="list" allowBlank="1" showInputMessage="1" showErrorMessage="1">
          <x14:formula1>
            <xm:f>'2. Dropdowns'!$F$4:$F$7</xm:f>
          </x14:formula1>
          <xm:sqref>D19</xm:sqref>
        </x14:dataValidation>
        <x14:dataValidation type="list" allowBlank="1" showInputMessage="1" showErrorMessage="1">
          <x14:formula1>
            <xm:f>'2. Dropdowns'!$B$4:$B$6</xm:f>
          </x14:formula1>
          <xm:sqref>D10</xm:sqref>
        </x14:dataValidation>
        <x14:dataValidation type="list" errorStyle="warning" allowBlank="1" showInputMessage="1" showErrorMessage="1" errorTitle="Select Option" error="Please select option from list">
          <x14:formula1>
            <xm:f>'2. Dropdowns'!$B$9:$B$11</xm:f>
          </x14:formula1>
          <xm:sqref>D15</xm:sqref>
        </x14:dataValidation>
        <x14:dataValidation type="list" allowBlank="1" showInputMessage="1" showErrorMessage="1">
          <x14:formula1>
            <xm:f>'2. Dropdowns'!$B$14:$B$16</xm:f>
          </x14:formula1>
          <xm:sqref>D12</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theme="0" tint="-0.499984740745262"/>
  </sheetPr>
  <dimension ref="B2:Z58"/>
  <sheetViews>
    <sheetView workbookViewId="0">
      <selection activeCell="B44" sqref="B44"/>
    </sheetView>
  </sheetViews>
  <sheetFormatPr defaultColWidth="9.140625" defaultRowHeight="15" x14ac:dyDescent="0.25"/>
  <cols>
    <col min="1" max="1" width="5" style="425" customWidth="1"/>
    <col min="2" max="2" width="19.42578125" style="425" customWidth="1"/>
    <col min="3" max="3" width="12.85546875" style="425" customWidth="1"/>
    <col min="4" max="4" width="11.140625" style="425" customWidth="1"/>
    <col min="5" max="5" width="10.85546875" style="425" customWidth="1"/>
    <col min="6" max="7" width="10.140625" style="425" customWidth="1"/>
    <col min="8" max="8" width="7.140625" style="425" bestFit="1" customWidth="1"/>
    <col min="9" max="9" width="8.140625" style="425" bestFit="1" customWidth="1"/>
    <col min="10" max="10" width="3.140625" style="425" customWidth="1"/>
    <col min="11" max="11" width="19.140625" style="425" hidden="1" customWidth="1"/>
    <col min="12" max="12" width="9.85546875" style="425" hidden="1" customWidth="1"/>
    <col min="13" max="13" width="12.42578125" style="425" hidden="1" customWidth="1"/>
    <col min="14" max="14" width="10.140625" style="425" hidden="1" customWidth="1"/>
    <col min="15" max="15" width="10.5703125" style="425" hidden="1" customWidth="1"/>
    <col min="16" max="16" width="10.140625" style="425" hidden="1" customWidth="1"/>
    <col min="17" max="18" width="8.140625" style="425" hidden="1" customWidth="1"/>
    <col min="19" max="19" width="3.42578125" style="425" customWidth="1"/>
    <col min="20" max="20" width="20.85546875" style="425" customWidth="1"/>
    <col min="21" max="21" width="11.85546875" style="425" customWidth="1"/>
    <col min="22" max="22" width="9.140625" style="425"/>
    <col min="23" max="23" width="10.85546875" style="425" customWidth="1"/>
    <col min="24" max="26" width="9.140625" style="425"/>
    <col min="27" max="27" width="3.85546875" style="425" customWidth="1"/>
    <col min="28" max="28" width="21.140625" style="425" bestFit="1" customWidth="1"/>
    <col min="29" max="16384" width="9.140625" style="425"/>
  </cols>
  <sheetData>
    <row r="2" spans="2:25" x14ac:dyDescent="0.25">
      <c r="B2" s="423" t="s">
        <v>146</v>
      </c>
      <c r="C2" s="423"/>
      <c r="D2" s="427">
        <v>5750</v>
      </c>
      <c r="E2" s="428"/>
      <c r="K2" s="429"/>
      <c r="L2" s="430"/>
    </row>
    <row r="3" spans="2:25" x14ac:dyDescent="0.25">
      <c r="B3" s="425" t="s">
        <v>148</v>
      </c>
      <c r="C3" s="431">
        <v>43560</v>
      </c>
      <c r="D3" s="432">
        <f>D2/C3</f>
        <v>0.13200183654729108</v>
      </c>
      <c r="E3" s="381" t="s">
        <v>149</v>
      </c>
      <c r="K3" s="428"/>
      <c r="L3" s="432"/>
      <c r="N3" s="423"/>
    </row>
    <row r="4" spans="2:25" x14ac:dyDescent="0.25">
      <c r="B4" s="425" t="s">
        <v>156</v>
      </c>
      <c r="C4" s="425">
        <v>20</v>
      </c>
      <c r="D4" s="433">
        <f>C4*D3</f>
        <v>2.6400367309458215</v>
      </c>
      <c r="E4" s="381" t="s">
        <v>157</v>
      </c>
      <c r="L4" s="434"/>
      <c r="N4" s="435"/>
    </row>
    <row r="5" spans="2:25" x14ac:dyDescent="0.25">
      <c r="L5" s="434"/>
      <c r="M5" s="436"/>
      <c r="N5" s="437"/>
    </row>
    <row r="6" spans="2:25" x14ac:dyDescent="0.25">
      <c r="K6" s="423"/>
      <c r="L6" s="434"/>
      <c r="M6" s="423"/>
      <c r="N6" s="438"/>
    </row>
    <row r="7" spans="2:25" x14ac:dyDescent="0.25">
      <c r="B7" s="423" t="s">
        <v>160</v>
      </c>
      <c r="C7" s="439"/>
      <c r="K7" s="428"/>
      <c r="L7" s="434"/>
      <c r="M7" s="432"/>
      <c r="O7" s="423"/>
      <c r="T7" s="423" t="s">
        <v>160</v>
      </c>
    </row>
    <row r="8" spans="2:25" x14ac:dyDescent="0.25">
      <c r="B8" s="425" t="s">
        <v>161</v>
      </c>
      <c r="C8" s="440">
        <v>1383</v>
      </c>
      <c r="D8" s="381" t="s">
        <v>162</v>
      </c>
      <c r="E8" s="381" t="s">
        <v>163</v>
      </c>
      <c r="L8" s="434"/>
      <c r="T8" s="425" t="s">
        <v>161</v>
      </c>
      <c r="U8" s="425">
        <v>1080</v>
      </c>
      <c r="V8" s="381" t="s">
        <v>162</v>
      </c>
      <c r="W8" s="381" t="s">
        <v>163</v>
      </c>
    </row>
    <row r="9" spans="2:25" x14ac:dyDescent="0.25">
      <c r="B9" s="425" t="s">
        <v>164</v>
      </c>
      <c r="C9" s="425">
        <v>210</v>
      </c>
      <c r="D9" s="381" t="s">
        <v>165</v>
      </c>
      <c r="E9" s="381" t="s">
        <v>163</v>
      </c>
      <c r="M9" s="434"/>
      <c r="O9" s="435"/>
      <c r="T9" s="425" t="s">
        <v>164</v>
      </c>
      <c r="U9" s="425">
        <v>180</v>
      </c>
      <c r="V9" s="381" t="s">
        <v>165</v>
      </c>
      <c r="W9" s="381" t="s">
        <v>163</v>
      </c>
    </row>
    <row r="10" spans="2:25" x14ac:dyDescent="0.25">
      <c r="D10" s="381"/>
      <c r="E10" s="381"/>
      <c r="M10" s="434"/>
      <c r="O10" s="435"/>
    </row>
    <row r="11" spans="2:25" x14ac:dyDescent="0.25">
      <c r="B11" s="425" t="s">
        <v>167</v>
      </c>
      <c r="D11" s="381"/>
      <c r="E11" s="381"/>
      <c r="M11" s="434"/>
      <c r="O11" s="435"/>
      <c r="T11" s="425" t="s">
        <v>167</v>
      </c>
      <c r="V11" s="381"/>
      <c r="W11" s="381"/>
    </row>
    <row r="12" spans="2:25" x14ac:dyDescent="0.25">
      <c r="B12" s="441" t="s">
        <v>168</v>
      </c>
      <c r="C12" s="436"/>
      <c r="D12" s="381" t="s">
        <v>169</v>
      </c>
      <c r="E12" s="442">
        <f>$D$4*C12</f>
        <v>0</v>
      </c>
      <c r="K12" s="423"/>
      <c r="L12" s="423"/>
      <c r="M12" s="434"/>
      <c r="N12" s="423"/>
      <c r="O12" s="438"/>
      <c r="T12" s="441" t="s">
        <v>168</v>
      </c>
      <c r="U12" s="436">
        <v>1</v>
      </c>
      <c r="V12" s="381" t="s">
        <v>169</v>
      </c>
      <c r="W12" s="443"/>
    </row>
    <row r="13" spans="2:25" x14ac:dyDescent="0.25">
      <c r="B13" s="441" t="s">
        <v>170</v>
      </c>
      <c r="C13" s="436">
        <v>1</v>
      </c>
      <c r="D13" s="381" t="s">
        <v>169</v>
      </c>
      <c r="E13" s="442">
        <f>$D$4*C13</f>
        <v>2.6400367309458215</v>
      </c>
      <c r="T13" s="441" t="s">
        <v>170</v>
      </c>
      <c r="U13" s="436"/>
      <c r="V13" s="381" t="s">
        <v>169</v>
      </c>
      <c r="W13" s="442">
        <f>$D$4*U13</f>
        <v>0</v>
      </c>
    </row>
    <row r="14" spans="2:25" x14ac:dyDescent="0.25">
      <c r="B14" s="441"/>
      <c r="C14" s="436">
        <f>SUM(C12:C13)</f>
        <v>1</v>
      </c>
      <c r="T14" s="441"/>
      <c r="U14" s="436">
        <f>SUM(U12:U13)</f>
        <v>1</v>
      </c>
    </row>
    <row r="16" spans="2:25" x14ac:dyDescent="0.25">
      <c r="B16" s="444" t="s">
        <v>571</v>
      </c>
      <c r="C16" s="444"/>
      <c r="D16" s="379"/>
      <c r="E16" s="379"/>
      <c r="F16" s="379"/>
      <c r="G16" s="379"/>
      <c r="K16" s="444" t="s">
        <v>572</v>
      </c>
      <c r="L16" s="444"/>
      <c r="M16" s="379"/>
      <c r="N16" s="379"/>
      <c r="O16" s="379"/>
      <c r="P16" s="379"/>
      <c r="Q16" s="379"/>
      <c r="R16" s="379"/>
      <c r="T16" s="444" t="s">
        <v>573</v>
      </c>
      <c r="U16" s="444"/>
      <c r="V16" s="379"/>
      <c r="W16" s="379"/>
      <c r="X16" s="379"/>
      <c r="Y16" s="379"/>
    </row>
    <row r="17" spans="2:26" x14ac:dyDescent="0.25">
      <c r="B17" s="445" t="s">
        <v>175</v>
      </c>
      <c r="K17" s="445" t="s">
        <v>175</v>
      </c>
      <c r="T17" s="445" t="s">
        <v>175</v>
      </c>
    </row>
    <row r="18" spans="2:26" ht="15.75" thickBot="1" x14ac:dyDescent="0.3">
      <c r="B18" s="357" t="s">
        <v>176</v>
      </c>
      <c r="C18" s="357" t="s">
        <v>98</v>
      </c>
      <c r="D18" s="357" t="s">
        <v>152</v>
      </c>
      <c r="E18" s="357" t="s">
        <v>0</v>
      </c>
      <c r="F18" s="357" t="s">
        <v>178</v>
      </c>
      <c r="G18" s="357" t="s">
        <v>179</v>
      </c>
      <c r="J18" s="423"/>
      <c r="K18" s="357" t="s">
        <v>176</v>
      </c>
      <c r="L18" s="357" t="s">
        <v>200</v>
      </c>
      <c r="M18" s="357" t="s">
        <v>98</v>
      </c>
      <c r="N18" s="357" t="s">
        <v>152</v>
      </c>
      <c r="O18" s="357" t="s">
        <v>0</v>
      </c>
      <c r="P18" s="357" t="s">
        <v>178</v>
      </c>
      <c r="Q18" s="357" t="s">
        <v>1</v>
      </c>
      <c r="R18" s="357" t="s">
        <v>179</v>
      </c>
      <c r="T18" s="357" t="s">
        <v>176</v>
      </c>
      <c r="U18" s="357" t="s">
        <v>98</v>
      </c>
      <c r="V18" s="357" t="s">
        <v>152</v>
      </c>
      <c r="W18" s="357" t="s">
        <v>0</v>
      </c>
      <c r="X18" s="357" t="s">
        <v>178</v>
      </c>
      <c r="Y18" s="357" t="s">
        <v>179</v>
      </c>
    </row>
    <row r="19" spans="2:26" ht="15.75" thickTop="1" x14ac:dyDescent="0.25">
      <c r="B19" s="425" t="s">
        <v>180</v>
      </c>
      <c r="C19" s="431" t="s">
        <v>188</v>
      </c>
      <c r="D19" s="425" t="s">
        <v>188</v>
      </c>
      <c r="E19" s="431">
        <v>1260</v>
      </c>
      <c r="F19" s="431">
        <v>10</v>
      </c>
      <c r="K19" s="425" t="s">
        <v>180</v>
      </c>
      <c r="L19" s="431">
        <v>2349</v>
      </c>
      <c r="M19" s="431">
        <v>492</v>
      </c>
      <c r="N19" s="425" t="s">
        <v>188</v>
      </c>
      <c r="O19" s="431">
        <f>12688+1146</f>
        <v>13834</v>
      </c>
      <c r="P19" s="431">
        <v>15</v>
      </c>
      <c r="Q19" s="431"/>
      <c r="T19" s="425" t="s">
        <v>180</v>
      </c>
      <c r="U19" s="431" t="s">
        <v>188</v>
      </c>
      <c r="V19" s="425" t="s">
        <v>188</v>
      </c>
      <c r="W19" s="431">
        <v>1440</v>
      </c>
      <c r="X19" s="431">
        <v>10</v>
      </c>
    </row>
    <row r="20" spans="2:26" x14ac:dyDescent="0.25">
      <c r="B20" s="425" t="s">
        <v>181</v>
      </c>
      <c r="C20" s="431">
        <v>2076</v>
      </c>
      <c r="D20" s="437">
        <f>C20/$C$8</f>
        <v>1.5010845986984815</v>
      </c>
      <c r="E20" s="431">
        <v>0</v>
      </c>
      <c r="F20" s="431">
        <v>10</v>
      </c>
      <c r="K20" s="425" t="s">
        <v>181</v>
      </c>
      <c r="L20" s="431">
        <v>0</v>
      </c>
      <c r="M20" s="431">
        <v>10842</v>
      </c>
      <c r="N20" s="437">
        <f>M20/$C$8</f>
        <v>7.839479392624729</v>
      </c>
      <c r="O20" s="431">
        <v>0</v>
      </c>
      <c r="P20" s="431">
        <v>10</v>
      </c>
      <c r="Q20" s="431"/>
      <c r="T20" s="425" t="s">
        <v>181</v>
      </c>
      <c r="U20" s="431">
        <v>2160</v>
      </c>
      <c r="V20" s="437">
        <f>U20/$U$8</f>
        <v>2</v>
      </c>
      <c r="W20" s="431">
        <v>0</v>
      </c>
      <c r="X20" s="431">
        <v>10</v>
      </c>
    </row>
    <row r="21" spans="2:26" x14ac:dyDescent="0.25">
      <c r="B21" s="425" t="s">
        <v>182</v>
      </c>
      <c r="C21" s="431">
        <v>2076</v>
      </c>
      <c r="D21" s="437">
        <f>C21/$C$8</f>
        <v>1.5010845986984815</v>
      </c>
      <c r="E21" s="431"/>
      <c r="F21" s="431">
        <v>10</v>
      </c>
      <c r="L21" s="431"/>
      <c r="M21" s="431"/>
      <c r="N21" s="437"/>
      <c r="O21" s="431"/>
      <c r="P21" s="431"/>
      <c r="Q21" s="431"/>
      <c r="T21" s="425" t="s">
        <v>182</v>
      </c>
      <c r="U21" s="431">
        <v>2160</v>
      </c>
      <c r="V21" s="437">
        <f>U21/$U$8</f>
        <v>2</v>
      </c>
      <c r="W21" s="431"/>
      <c r="X21" s="431">
        <v>10</v>
      </c>
    </row>
    <row r="22" spans="2:26" x14ac:dyDescent="0.25">
      <c r="B22" s="446"/>
      <c r="C22" s="447">
        <f>SUM(C20:C21)</f>
        <v>4152</v>
      </c>
      <c r="D22" s="448">
        <f>SUM(D19:D21)</f>
        <v>3.0021691973969631</v>
      </c>
      <c r="E22" s="447">
        <f>SUM(E19:E20)</f>
        <v>1260</v>
      </c>
      <c r="F22" s="449">
        <f>SUM(F19:F21)</f>
        <v>30</v>
      </c>
      <c r="G22" s="450">
        <f>D22/($D$2/43560)</f>
        <v>22.74338960671508</v>
      </c>
      <c r="K22" s="446" t="s">
        <v>574</v>
      </c>
      <c r="L22" s="447">
        <f>SUM(L19:L20)</f>
        <v>2349</v>
      </c>
      <c r="M22" s="447">
        <f>SUM(M19:M20)</f>
        <v>11334</v>
      </c>
      <c r="N22" s="447">
        <f>SUM(N19:N20)</f>
        <v>7.839479392624729</v>
      </c>
      <c r="O22" s="447">
        <f>SUM(O19:O20)-1146</f>
        <v>12688</v>
      </c>
      <c r="P22" s="447">
        <f>SUM(P19:P20)</f>
        <v>25</v>
      </c>
      <c r="Q22" s="375">
        <f>SUM(L22,M22,O22)/$D$2</f>
        <v>4.5862608695652174</v>
      </c>
      <c r="R22" s="451">
        <f>N22/($D$2/43560)</f>
        <v>59.389169103084036</v>
      </c>
      <c r="T22" s="446"/>
      <c r="U22" s="447">
        <f>SUM(U20:U21)</f>
        <v>4320</v>
      </c>
      <c r="V22" s="448">
        <f>SUM(V19:V21)</f>
        <v>4</v>
      </c>
      <c r="W22" s="447">
        <f>SUM(W19:W20)</f>
        <v>1440</v>
      </c>
      <c r="X22" s="449">
        <f>SUM(X19:X21)</f>
        <v>30</v>
      </c>
      <c r="Y22" s="452">
        <f>V22/($D$2/43560)</f>
        <v>30.302608695652175</v>
      </c>
    </row>
    <row r="23" spans="2:26" x14ac:dyDescent="0.25">
      <c r="B23" s="423"/>
      <c r="C23" s="428"/>
      <c r="E23" s="428"/>
      <c r="F23" s="428"/>
      <c r="G23" s="453"/>
      <c r="K23" s="423"/>
      <c r="L23" s="428"/>
      <c r="M23" s="428"/>
      <c r="O23" s="454"/>
      <c r="P23" s="428"/>
      <c r="Q23" s="453"/>
      <c r="R23" s="453"/>
    </row>
    <row r="24" spans="2:26" x14ac:dyDescent="0.25">
      <c r="B24" s="423" t="s">
        <v>186</v>
      </c>
      <c r="C24" s="428"/>
      <c r="E24" s="428">
        <f>E22/$C$9</f>
        <v>6</v>
      </c>
      <c r="F24" s="423"/>
      <c r="G24" s="453"/>
      <c r="K24" s="423" t="s">
        <v>186</v>
      </c>
      <c r="L24" s="428"/>
      <c r="M24" s="428"/>
      <c r="O24" s="428">
        <f>O22/$C$9</f>
        <v>60.419047619047618</v>
      </c>
      <c r="P24" s="428"/>
      <c r="Q24" s="453"/>
      <c r="T24" s="423" t="s">
        <v>186</v>
      </c>
      <c r="U24" s="428"/>
      <c r="W24" s="428">
        <f>W22/$U$9</f>
        <v>8</v>
      </c>
      <c r="X24" s="423"/>
    </row>
    <row r="25" spans="2:26" x14ac:dyDescent="0.25">
      <c r="B25" s="423"/>
      <c r="C25" s="455"/>
      <c r="D25" s="455"/>
      <c r="E25" s="433"/>
      <c r="F25" s="428"/>
      <c r="G25" s="428"/>
      <c r="H25" s="453"/>
      <c r="I25" s="453"/>
      <c r="T25" s="423"/>
      <c r="U25" s="455"/>
      <c r="V25" s="455"/>
      <c r="W25" s="433"/>
    </row>
    <row r="26" spans="2:26" x14ac:dyDescent="0.25">
      <c r="B26" s="456"/>
      <c r="E26" s="433"/>
      <c r="T26" s="456"/>
      <c r="W26" s="433"/>
    </row>
    <row r="27" spans="2:26" x14ac:dyDescent="0.25">
      <c r="B27" s="423" t="s">
        <v>191</v>
      </c>
      <c r="K27" s="423" t="s">
        <v>191</v>
      </c>
      <c r="T27" s="423" t="s">
        <v>191</v>
      </c>
    </row>
    <row r="28" spans="2:26" x14ac:dyDescent="0.25">
      <c r="B28" s="423" t="s">
        <v>151</v>
      </c>
      <c r="C28" s="423" t="s">
        <v>196</v>
      </c>
      <c r="D28" s="423" t="s">
        <v>152</v>
      </c>
      <c r="E28" s="423" t="s">
        <v>153</v>
      </c>
      <c r="F28" s="423" t="s">
        <v>197</v>
      </c>
      <c r="G28" s="423" t="s">
        <v>198</v>
      </c>
      <c r="I28" s="423"/>
      <c r="K28" s="423" t="s">
        <v>151</v>
      </c>
      <c r="L28" s="423" t="s">
        <v>196</v>
      </c>
      <c r="M28" s="423" t="s">
        <v>152</v>
      </c>
      <c r="N28" s="423" t="s">
        <v>153</v>
      </c>
      <c r="O28" s="423" t="s">
        <v>197</v>
      </c>
      <c r="P28" s="423" t="s">
        <v>198</v>
      </c>
      <c r="T28" s="423" t="s">
        <v>151</v>
      </c>
      <c r="U28" s="423" t="s">
        <v>196</v>
      </c>
      <c r="V28" s="423" t="s">
        <v>152</v>
      </c>
      <c r="W28" s="423" t="s">
        <v>153</v>
      </c>
      <c r="X28" s="423" t="s">
        <v>197</v>
      </c>
      <c r="Y28" s="423" t="s">
        <v>198</v>
      </c>
    </row>
    <row r="29" spans="2:26" x14ac:dyDescent="0.25">
      <c r="B29" s="425" t="s">
        <v>155</v>
      </c>
      <c r="C29" s="425" t="s">
        <v>188</v>
      </c>
      <c r="D29" s="434">
        <f>D4*C12</f>
        <v>0</v>
      </c>
      <c r="E29" s="425">
        <v>1</v>
      </c>
      <c r="G29" s="435">
        <f>D29*E29</f>
        <v>0</v>
      </c>
      <c r="I29" s="435"/>
      <c r="K29" s="425" t="s">
        <v>155</v>
      </c>
      <c r="L29" s="425" t="s">
        <v>188</v>
      </c>
      <c r="M29" s="434">
        <f>D29</f>
        <v>0</v>
      </c>
      <c r="N29" s="425">
        <v>1</v>
      </c>
      <c r="P29" s="435">
        <f>M29*N29</f>
        <v>0</v>
      </c>
      <c r="T29" s="425" t="s">
        <v>155</v>
      </c>
      <c r="U29" s="425" t="s">
        <v>188</v>
      </c>
      <c r="V29" s="434">
        <v>0</v>
      </c>
      <c r="W29" s="425">
        <v>1</v>
      </c>
      <c r="Y29" s="435">
        <f>V29*W29</f>
        <v>0</v>
      </c>
    </row>
    <row r="30" spans="2:26" x14ac:dyDescent="0.25">
      <c r="B30" s="425" t="s">
        <v>158</v>
      </c>
      <c r="C30" s="425" t="s">
        <v>188</v>
      </c>
      <c r="D30" s="434">
        <f>D22</f>
        <v>3.0021691973969631</v>
      </c>
      <c r="E30" s="425">
        <v>2</v>
      </c>
      <c r="G30" s="433">
        <f>D30*E30</f>
        <v>6.0043383947939262</v>
      </c>
      <c r="H30" s="433"/>
      <c r="K30" s="425" t="s">
        <v>158</v>
      </c>
      <c r="L30" s="425" t="s">
        <v>188</v>
      </c>
      <c r="M30" s="434">
        <f>D30</f>
        <v>3.0021691973969631</v>
      </c>
      <c r="N30" s="425">
        <v>2</v>
      </c>
      <c r="P30" s="435">
        <f>M30*N30</f>
        <v>6.0043383947939262</v>
      </c>
      <c r="T30" s="425" t="s">
        <v>158</v>
      </c>
      <c r="U30" s="425" t="s">
        <v>188</v>
      </c>
      <c r="V30" s="434">
        <v>4</v>
      </c>
      <c r="W30" s="425">
        <v>2</v>
      </c>
      <c r="Y30" s="435">
        <f>V30*W30</f>
        <v>8</v>
      </c>
    </row>
    <row r="31" spans="2:26" x14ac:dyDescent="0.25">
      <c r="B31" s="423" t="s">
        <v>199</v>
      </c>
      <c r="D31" s="438">
        <f>SUM(D29:D30)</f>
        <v>3.0021691973969631</v>
      </c>
      <c r="F31" s="438">
        <f>SUM(F29:F30)</f>
        <v>0</v>
      </c>
      <c r="G31" s="457">
        <f>SUM(G29:G30)</f>
        <v>6.0043383947939262</v>
      </c>
      <c r="H31" s="433"/>
      <c r="I31" s="438"/>
      <c r="K31" s="423" t="s">
        <v>199</v>
      </c>
      <c r="M31" s="438">
        <f>SUM(M29:M30)</f>
        <v>3.0021691973969631</v>
      </c>
      <c r="O31" s="438">
        <f>SUM(O29:O30)</f>
        <v>0</v>
      </c>
      <c r="P31" s="438">
        <f>SUM(P29:P30)</f>
        <v>6.0043383947939262</v>
      </c>
      <c r="Q31" s="435">
        <f>SUM(O31:P31)</f>
        <v>6.0043383947939262</v>
      </c>
      <c r="T31" s="423" t="s">
        <v>199</v>
      </c>
      <c r="V31" s="438">
        <f>SUM(V29:V30)</f>
        <v>4</v>
      </c>
      <c r="X31" s="438">
        <f>SUM(X29:X30)</f>
        <v>0</v>
      </c>
      <c r="Y31" s="458">
        <f>SUM(Y29:Y30)</f>
        <v>8</v>
      </c>
      <c r="Z31" s="435"/>
    </row>
    <row r="32" spans="2:26" hidden="1" x14ac:dyDescent="0.25">
      <c r="B32" s="425" t="s">
        <v>203</v>
      </c>
      <c r="D32" s="435"/>
      <c r="E32" s="459">
        <v>0.35</v>
      </c>
      <c r="F32" s="435">
        <f>E32*F31</f>
        <v>0</v>
      </c>
      <c r="G32" s="435">
        <f>E32*G31</f>
        <v>2.101518438177874</v>
      </c>
      <c r="H32" s="432">
        <f>H31*E32</f>
        <v>0</v>
      </c>
      <c r="I32" s="438"/>
      <c r="K32" s="425" t="s">
        <v>203</v>
      </c>
      <c r="M32" s="435"/>
      <c r="N32" s="459">
        <v>0.35</v>
      </c>
      <c r="O32" s="435">
        <f>N32*O31</f>
        <v>0</v>
      </c>
      <c r="P32" s="435">
        <f>N32*P31</f>
        <v>2.101518438177874</v>
      </c>
      <c r="Q32" s="432">
        <f>Q31*N32</f>
        <v>2.101518438177874</v>
      </c>
    </row>
    <row r="33" spans="2:22" hidden="1" x14ac:dyDescent="0.25">
      <c r="B33" s="423" t="s">
        <v>204</v>
      </c>
      <c r="D33" s="438"/>
      <c r="F33" s="438">
        <f>F31-F32</f>
        <v>0</v>
      </c>
      <c r="G33" s="438">
        <f>G31-G32</f>
        <v>3.9028199566160522</v>
      </c>
      <c r="H33" s="438">
        <f>H31-H32</f>
        <v>0</v>
      </c>
      <c r="I33" s="438"/>
      <c r="K33" s="423" t="s">
        <v>204</v>
      </c>
      <c r="M33" s="438"/>
      <c r="O33" s="438">
        <f>O31-O32</f>
        <v>0</v>
      </c>
      <c r="P33" s="438">
        <f>P31-P32</f>
        <v>3.9028199566160522</v>
      </c>
      <c r="Q33" s="438">
        <f>Q31-Q32</f>
        <v>3.9028199566160522</v>
      </c>
    </row>
    <row r="34" spans="2:22" x14ac:dyDescent="0.25">
      <c r="V34" s="436"/>
    </row>
    <row r="35" spans="2:22" x14ac:dyDescent="0.25">
      <c r="D35" s="434"/>
      <c r="F35" s="435"/>
      <c r="G35" s="435"/>
    </row>
    <row r="36" spans="2:22" x14ac:dyDescent="0.25">
      <c r="D36" s="434"/>
      <c r="F36" s="435"/>
      <c r="G36" s="435"/>
    </row>
    <row r="37" spans="2:22" x14ac:dyDescent="0.25">
      <c r="D37" s="434"/>
      <c r="E37" s="436"/>
      <c r="F37" s="435"/>
      <c r="G37" s="435"/>
    </row>
    <row r="38" spans="2:22" x14ac:dyDescent="0.25">
      <c r="D38" s="460"/>
      <c r="E38" s="461"/>
      <c r="F38" s="435"/>
      <c r="G38" s="435"/>
    </row>
    <row r="39" spans="2:22" x14ac:dyDescent="0.25">
      <c r="C39" s="433"/>
      <c r="D39" s="460"/>
      <c r="F39" s="435"/>
      <c r="G39" s="435"/>
    </row>
    <row r="40" spans="2:22" x14ac:dyDescent="0.25">
      <c r="B40" s="423"/>
      <c r="D40" s="438"/>
      <c r="F40" s="438"/>
      <c r="G40" s="438"/>
      <c r="I40" s="438"/>
    </row>
    <row r="41" spans="2:22" x14ac:dyDescent="0.25">
      <c r="D41" s="435"/>
      <c r="E41" s="436"/>
      <c r="F41" s="435"/>
      <c r="G41" s="435"/>
      <c r="I41" s="438"/>
    </row>
    <row r="42" spans="2:22" x14ac:dyDescent="0.25">
      <c r="B42" s="423"/>
      <c r="D42" s="438"/>
      <c r="F42" s="438"/>
      <c r="G42" s="438"/>
    </row>
    <row r="58" spans="11:11" x14ac:dyDescent="0.25">
      <c r="K58" s="462"/>
    </row>
  </sheetData>
  <sheetProtection algorithmName="SHA-512" hashValue="D0AK+FY/OVvRxcSaxbCkaNBQnFyNjvdkjbVHTQRgRsNDdZXazKf+sdBLKexerrFdeNU0h9OObBaMQVW154k/zw==" saltValue="yiyg8DMAgmd5hekLp8E0NA==" spinCount="100000" sheet="1" objects="1" scenarios="1"/>
  <pageMargins left="0.7" right="0.7" top="0.75" bottom="0.75" header="0.3" footer="0.3"/>
  <pageSetup orientation="portrait" horizontalDpi="1200" verticalDpi="1200"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2" tint="-9.9978637043366805E-2"/>
    <pageSetUpPr fitToPage="1"/>
  </sheetPr>
  <dimension ref="A1:W52"/>
  <sheetViews>
    <sheetView workbookViewId="0">
      <selection activeCell="B44" sqref="B44"/>
    </sheetView>
  </sheetViews>
  <sheetFormatPr defaultColWidth="9" defaultRowHeight="12.75" x14ac:dyDescent="0.25"/>
  <cols>
    <col min="1" max="1" width="1.85546875" style="57" customWidth="1"/>
    <col min="2" max="2" width="31.140625" style="57" customWidth="1"/>
    <col min="3" max="3" width="23.5703125" style="60" customWidth="1"/>
    <col min="4" max="11" width="27.42578125" style="60" customWidth="1"/>
    <col min="12" max="12" width="27.42578125" style="57" customWidth="1"/>
    <col min="13" max="13" width="8.85546875" style="57" customWidth="1"/>
    <col min="14" max="14" width="7.140625" style="57" customWidth="1"/>
    <col min="15" max="18" width="8.5703125" style="57" customWidth="1"/>
    <col min="19" max="16384" width="9" style="57"/>
  </cols>
  <sheetData>
    <row r="1" spans="1:21" ht="15.75" x14ac:dyDescent="0.3">
      <c r="A1" s="69" t="s">
        <v>140</v>
      </c>
    </row>
    <row r="2" spans="1:21" s="72" customFormat="1" ht="13.5" x14ac:dyDescent="0.25">
      <c r="C2" s="73"/>
      <c r="D2" s="73"/>
      <c r="E2" s="73"/>
      <c r="F2" s="73"/>
      <c r="G2" s="73"/>
      <c r="H2" s="73"/>
      <c r="I2" s="73"/>
      <c r="J2" s="73"/>
      <c r="K2" s="73"/>
    </row>
    <row r="3" spans="1:21" s="72" customFormat="1" ht="13.5" x14ac:dyDescent="0.25">
      <c r="C3" s="244" t="s">
        <v>206</v>
      </c>
      <c r="D3" s="302" t="s">
        <v>207</v>
      </c>
      <c r="E3" s="302" t="s">
        <v>217</v>
      </c>
      <c r="F3" s="302" t="s">
        <v>218</v>
      </c>
      <c r="G3" s="244" t="s">
        <v>219</v>
      </c>
      <c r="H3" s="244" t="s">
        <v>220</v>
      </c>
      <c r="I3" s="302" t="s">
        <v>224</v>
      </c>
      <c r="J3" s="302" t="s">
        <v>225</v>
      </c>
      <c r="K3" s="73"/>
      <c r="L3" s="74" t="s">
        <v>99</v>
      </c>
    </row>
    <row r="4" spans="1:21" s="72" customFormat="1" ht="13.5" x14ac:dyDescent="0.25">
      <c r="A4" s="75"/>
      <c r="B4" s="76" t="s">
        <v>130</v>
      </c>
      <c r="C4" s="77" t="s">
        <v>145</v>
      </c>
      <c r="D4" s="73" t="s">
        <v>144</v>
      </c>
      <c r="E4" s="73" t="s">
        <v>215</v>
      </c>
      <c r="F4" s="73" t="s">
        <v>216</v>
      </c>
      <c r="G4" s="73" t="s">
        <v>221</v>
      </c>
      <c r="H4" s="73" t="s">
        <v>222</v>
      </c>
      <c r="I4" s="73" t="s">
        <v>226</v>
      </c>
      <c r="J4" s="73" t="s">
        <v>227</v>
      </c>
      <c r="K4" s="73"/>
    </row>
    <row r="5" spans="1:21" s="72" customFormat="1" ht="13.5" x14ac:dyDescent="0.25">
      <c r="B5" s="78"/>
      <c r="C5" s="79"/>
      <c r="D5" s="79"/>
      <c r="E5" s="79"/>
      <c r="F5" s="79"/>
      <c r="G5" s="79"/>
      <c r="H5" s="79"/>
      <c r="I5" s="79"/>
      <c r="J5" s="79"/>
      <c r="K5" s="79"/>
      <c r="L5" s="80"/>
      <c r="M5" s="80"/>
      <c r="N5" s="80"/>
      <c r="O5" s="80"/>
      <c r="S5" s="81"/>
      <c r="T5" s="81"/>
      <c r="U5" s="81"/>
    </row>
    <row r="6" spans="1:21" s="72" customFormat="1" ht="13.5" x14ac:dyDescent="0.25">
      <c r="A6" s="82"/>
      <c r="B6" s="83" t="s">
        <v>39</v>
      </c>
      <c r="C6" s="84">
        <v>1.29</v>
      </c>
      <c r="D6" s="84">
        <v>1.29</v>
      </c>
      <c r="E6" s="84">
        <v>1.29</v>
      </c>
      <c r="F6" s="84">
        <v>1.29</v>
      </c>
      <c r="G6" s="84">
        <v>1.29</v>
      </c>
      <c r="H6" s="84">
        <v>1.29</v>
      </c>
      <c r="I6" s="84">
        <v>1.29</v>
      </c>
      <c r="J6" s="84">
        <v>1.29</v>
      </c>
      <c r="K6" s="84"/>
      <c r="L6" s="85"/>
      <c r="M6" s="85"/>
      <c r="N6" s="85"/>
      <c r="O6" s="85"/>
    </row>
    <row r="7" spans="1:21" s="72" customFormat="1" ht="13.5" x14ac:dyDescent="0.25">
      <c r="A7" s="82"/>
      <c r="B7" s="83" t="s">
        <v>72</v>
      </c>
      <c r="C7" s="86">
        <f t="shared" ref="C7:J7" si="0">C6*43560</f>
        <v>56192.4</v>
      </c>
      <c r="D7" s="86">
        <f t="shared" si="0"/>
        <v>56192.4</v>
      </c>
      <c r="E7" s="86">
        <f t="shared" si="0"/>
        <v>56192.4</v>
      </c>
      <c r="F7" s="86">
        <f t="shared" si="0"/>
        <v>56192.4</v>
      </c>
      <c r="G7" s="86">
        <f t="shared" si="0"/>
        <v>56192.4</v>
      </c>
      <c r="H7" s="86">
        <f t="shared" si="0"/>
        <v>56192.4</v>
      </c>
      <c r="I7" s="86">
        <f t="shared" si="0"/>
        <v>56192.4</v>
      </c>
      <c r="J7" s="86">
        <f t="shared" si="0"/>
        <v>56192.4</v>
      </c>
      <c r="K7" s="86"/>
      <c r="L7" s="85"/>
      <c r="M7" s="85"/>
      <c r="N7" s="85"/>
      <c r="O7" s="85"/>
      <c r="S7" s="81"/>
    </row>
    <row r="8" spans="1:21" s="72" customFormat="1" ht="13.5" x14ac:dyDescent="0.25">
      <c r="A8" s="82"/>
      <c r="B8" s="83" t="s">
        <v>143</v>
      </c>
      <c r="C8" s="86">
        <v>3</v>
      </c>
      <c r="D8" s="245">
        <v>4</v>
      </c>
      <c r="E8" s="245">
        <v>4</v>
      </c>
      <c r="F8" s="245">
        <v>5</v>
      </c>
      <c r="G8" s="245">
        <v>4</v>
      </c>
      <c r="H8" s="245">
        <v>5</v>
      </c>
      <c r="I8" s="245">
        <v>4</v>
      </c>
      <c r="J8" s="245">
        <v>5</v>
      </c>
      <c r="K8" s="84"/>
      <c r="L8" s="85"/>
      <c r="M8" s="85"/>
      <c r="N8" s="85"/>
      <c r="O8" s="85"/>
    </row>
    <row r="9" spans="1:21" s="72" customFormat="1" ht="13.5" x14ac:dyDescent="0.25">
      <c r="A9" s="82"/>
      <c r="B9" s="83" t="s">
        <v>93</v>
      </c>
      <c r="C9" s="86">
        <f>'MXDH-Large Test Fit'!C25+'MXDH-Large Test Fit'!D25+'MXDH-Large Test Fit'!F25</f>
        <v>137906.64050000001</v>
      </c>
      <c r="D9" s="86">
        <f>'MXDH-Large Test Fit'!C32+'MXDH-Large Test Fit'!D32+'MXDH-Large Test Fit'!F32</f>
        <v>153906.64050000001</v>
      </c>
      <c r="E9" s="86">
        <f>'MXDH-Large Test Fit'!L26+'MXDH-Large Test Fit'!M26+'MXDH-Large Test Fit'!O26</f>
        <v>194792.64050000001</v>
      </c>
      <c r="F9" s="86">
        <f>SUM('MXDH-Large Test Fit'!L33,'MXDH-Large Test Fit'!M33,'MXDH-Large Test Fit'!O33)</f>
        <v>235744.64050000001</v>
      </c>
      <c r="G9" s="86">
        <f>'MXDH-Large Test Fit'!U26+'MXDH-Large Test Fit'!W26</f>
        <v>153668</v>
      </c>
      <c r="H9" s="86">
        <f>'MXDH-Large Test Fit'!U33+'MXDH-Large Test Fit'!W33</f>
        <v>219572</v>
      </c>
      <c r="I9" s="86">
        <f>'MXDH-Large Test Fit'!AC26+'MXDH-Large Test Fit'!AE26</f>
        <v>193432</v>
      </c>
      <c r="J9" s="86">
        <f>'MXDH-Large Test Fit'!AC33+'MXDH-Large Test Fit'!AE33</f>
        <v>234384</v>
      </c>
      <c r="K9" s="84"/>
      <c r="L9" s="85"/>
      <c r="M9" s="85"/>
      <c r="N9" s="85"/>
      <c r="O9" s="85"/>
    </row>
    <row r="10" spans="1:21" s="72" customFormat="1" ht="13.5" x14ac:dyDescent="0.25">
      <c r="A10" s="82"/>
      <c r="B10" s="83" t="s">
        <v>105</v>
      </c>
      <c r="C10" s="87">
        <v>0.75</v>
      </c>
      <c r="D10" s="87">
        <v>0.75</v>
      </c>
      <c r="E10" s="87">
        <v>0.75</v>
      </c>
      <c r="F10" s="87">
        <v>0.75</v>
      </c>
      <c r="G10" s="87">
        <v>0.75</v>
      </c>
      <c r="H10" s="87">
        <v>0.75</v>
      </c>
      <c r="I10" s="87">
        <v>0.75</v>
      </c>
      <c r="J10" s="87">
        <v>0.75</v>
      </c>
      <c r="K10" s="84"/>
      <c r="L10" s="85"/>
      <c r="M10" s="85"/>
      <c r="N10" s="85"/>
      <c r="O10" s="85"/>
    </row>
    <row r="11" spans="1:21" s="72" customFormat="1" ht="13.5" x14ac:dyDescent="0.25">
      <c r="A11" s="82"/>
      <c r="B11" s="83" t="s">
        <v>94</v>
      </c>
      <c r="C11" s="86">
        <f>C16*C17</f>
        <v>61275</v>
      </c>
      <c r="D11" s="86">
        <f>D16*D17</f>
        <v>73530</v>
      </c>
      <c r="E11" s="86">
        <f>E16*E17</f>
        <v>76755</v>
      </c>
      <c r="F11" s="86">
        <f>F16*F17</f>
        <v>107715</v>
      </c>
      <c r="G11" s="86">
        <f t="shared" ref="G11:J11" si="1">G16*G17</f>
        <v>88365</v>
      </c>
      <c r="H11" s="86">
        <f t="shared" si="1"/>
        <v>137385</v>
      </c>
      <c r="I11" s="86">
        <f t="shared" si="1"/>
        <v>90945</v>
      </c>
      <c r="J11" s="86">
        <f t="shared" si="1"/>
        <v>121260</v>
      </c>
      <c r="K11" s="84"/>
      <c r="L11" s="85"/>
      <c r="M11" s="85"/>
      <c r="N11" s="85"/>
      <c r="O11" s="85"/>
    </row>
    <row r="12" spans="1:21" s="72" customFormat="1" ht="13.5" x14ac:dyDescent="0.25">
      <c r="A12" s="82"/>
      <c r="B12" s="83" t="s">
        <v>1</v>
      </c>
      <c r="C12" s="84">
        <f>'MXDH-Large Test Fit'!H25</f>
        <v>2.4625306328345418</v>
      </c>
      <c r="D12" s="84">
        <f>'MXDH-Large Test Fit'!H32</f>
        <v>2.7482347148316135</v>
      </c>
      <c r="E12" s="84">
        <f>'MXDH-Large Test Fit'!Q26</f>
        <v>3.4783157833648799</v>
      </c>
      <c r="F12" s="84">
        <f>'MXDH-Large Test Fit'!Q33</f>
        <v>4.2095753812363848</v>
      </c>
      <c r="G12" s="84">
        <f>'MXDH-Large Test Fit'!Y26</f>
        <v>2.7439734295203744</v>
      </c>
      <c r="H12" s="84">
        <f>'MXDH-Large Test Fit'!Y33</f>
        <v>3.9207885432663119</v>
      </c>
      <c r="I12" s="84">
        <f>'MXDH-Large Test Fit'!AG26</f>
        <v>3.4540194993035964</v>
      </c>
      <c r="J12" s="84">
        <f>'MXDH-Large Test Fit'!AG33</f>
        <v>4.1852790971751013</v>
      </c>
      <c r="K12" s="88"/>
      <c r="L12" s="89"/>
      <c r="M12" s="89"/>
      <c r="N12" s="89"/>
      <c r="O12" s="89"/>
    </row>
    <row r="13" spans="1:21" s="72" customFormat="1" ht="13.5" x14ac:dyDescent="0.25">
      <c r="A13" s="82"/>
      <c r="B13" s="82"/>
      <c r="C13" s="88"/>
      <c r="D13" s="88"/>
      <c r="E13" s="88"/>
      <c r="F13" s="88"/>
      <c r="G13" s="88"/>
      <c r="H13" s="88"/>
      <c r="I13" s="88"/>
      <c r="J13" s="88"/>
      <c r="K13" s="88"/>
      <c r="L13" s="89"/>
      <c r="M13" s="89"/>
      <c r="N13" s="89"/>
      <c r="O13" s="89"/>
    </row>
    <row r="14" spans="1:21" s="72" customFormat="1" ht="13.5" x14ac:dyDescent="0.25">
      <c r="A14" s="90"/>
      <c r="B14" s="78" t="s">
        <v>95</v>
      </c>
      <c r="C14" s="91"/>
      <c r="D14" s="88"/>
      <c r="E14" s="88"/>
      <c r="F14" s="88"/>
      <c r="G14" s="88"/>
      <c r="H14" s="88"/>
      <c r="I14" s="88"/>
      <c r="J14" s="88"/>
      <c r="K14" s="88"/>
      <c r="L14" s="89"/>
      <c r="M14" s="89"/>
      <c r="N14" s="89"/>
      <c r="O14" s="89"/>
    </row>
    <row r="15" spans="1:21" s="72" customFormat="1" ht="13.5" x14ac:dyDescent="0.25">
      <c r="A15" s="246"/>
      <c r="B15" s="82" t="s">
        <v>213</v>
      </c>
      <c r="C15" s="86">
        <f>'MXDH-Large Test Fit'!D25</f>
        <v>81904</v>
      </c>
      <c r="D15" s="86">
        <f>'MXDH-Large Test Fit'!D32</f>
        <v>97904</v>
      </c>
      <c r="E15" s="86">
        <f>'MXDH-Large Test Fit'!M26</f>
        <v>102608</v>
      </c>
      <c r="F15" s="86">
        <f>'MXDH-Large Test Fit'!M33</f>
        <v>143560</v>
      </c>
      <c r="G15" s="86">
        <f>'MXDH-Large Test Fit'!U26</f>
        <v>117486</v>
      </c>
      <c r="H15" s="86">
        <f>'MXDH-Large Test Fit'!U33</f>
        <v>183390</v>
      </c>
      <c r="I15" s="86">
        <f>'MXDH-Large Test Fit'!AC26</f>
        <v>121068</v>
      </c>
      <c r="J15" s="86">
        <f>'MXDH-Large Test Fit'!AC33</f>
        <v>162020</v>
      </c>
      <c r="K15" s="88"/>
      <c r="L15" s="89"/>
      <c r="M15" s="89"/>
      <c r="N15" s="89"/>
      <c r="O15" s="89"/>
    </row>
    <row r="16" spans="1:21" s="72" customFormat="1" ht="13.5" x14ac:dyDescent="0.25">
      <c r="A16" s="83"/>
      <c r="B16" s="82" t="s">
        <v>96</v>
      </c>
      <c r="C16" s="86">
        <f>ROUND('MXDH-Large Test Fit'!E25,0)</f>
        <v>95</v>
      </c>
      <c r="D16" s="88">
        <f>ROUND('MXDH-Large Test Fit'!E32,0)</f>
        <v>114</v>
      </c>
      <c r="E16" s="88">
        <f>ROUND('MXDH-Large Test Fit'!N26,0)</f>
        <v>119</v>
      </c>
      <c r="F16" s="88">
        <f>ROUND('MXDH-Large Test Fit'!N33,0)</f>
        <v>167</v>
      </c>
      <c r="G16" s="88">
        <f>ROUND('MXDH-Large Test Fit'!V26,0)</f>
        <v>137</v>
      </c>
      <c r="H16" s="88">
        <f>ROUND('MXDH-Large Test Fit'!V33,0)</f>
        <v>213</v>
      </c>
      <c r="I16" s="88">
        <f>ROUND('MXDH-Large Test Fit'!AD26,0)</f>
        <v>141</v>
      </c>
      <c r="J16" s="88">
        <f>ROUND('MXDH-Large Test Fit'!AD33,0)</f>
        <v>188</v>
      </c>
      <c r="K16" s="88"/>
      <c r="L16" s="89"/>
      <c r="M16" s="89"/>
      <c r="N16" s="89"/>
      <c r="O16" s="89"/>
      <c r="R16" s="81"/>
      <c r="S16" s="92"/>
      <c r="T16" s="92"/>
      <c r="U16" s="92"/>
    </row>
    <row r="17" spans="1:23" s="257" customFormat="1" ht="13.5" x14ac:dyDescent="0.25">
      <c r="A17" s="253"/>
      <c r="B17" s="253" t="s">
        <v>97</v>
      </c>
      <c r="C17" s="248">
        <f>'MXDH-Large Test Fit'!$C$10*C10</f>
        <v>645</v>
      </c>
      <c r="D17" s="248">
        <f>'MXDH-Large Test Fit'!$C$10*D10</f>
        <v>645</v>
      </c>
      <c r="E17" s="248">
        <f>'MXDH-Large Test Fit'!$C$10*E10</f>
        <v>645</v>
      </c>
      <c r="F17" s="248">
        <f>'MXDH-Large Test Fit'!$C$10*F10</f>
        <v>645</v>
      </c>
      <c r="G17" s="248">
        <f>'MXDH-Large Test Fit'!$C$10*G10</f>
        <v>645</v>
      </c>
      <c r="H17" s="248">
        <f>'MXDH-Large Test Fit'!$C$10*H10</f>
        <v>645</v>
      </c>
      <c r="I17" s="248">
        <f>'MXDH-Large Test Fit'!$C$10*I10</f>
        <v>645</v>
      </c>
      <c r="J17" s="248">
        <f>'MXDH-Large Test Fit'!$C$10*J10</f>
        <v>645</v>
      </c>
      <c r="K17" s="255"/>
      <c r="L17" s="258"/>
      <c r="M17" s="258"/>
      <c r="N17" s="258"/>
      <c r="O17" s="258"/>
      <c r="R17" s="259"/>
      <c r="S17" s="260"/>
      <c r="T17" s="260"/>
      <c r="U17" s="260"/>
    </row>
    <row r="18" spans="1:23" s="72" customFormat="1" ht="13.5" x14ac:dyDescent="0.25">
      <c r="A18" s="82"/>
      <c r="B18" s="83" t="s">
        <v>104</v>
      </c>
      <c r="C18" s="93">
        <f>C16/C6</f>
        <v>73.643410852713174</v>
      </c>
      <c r="D18" s="93">
        <f>D16/D6</f>
        <v>88.372093023255815</v>
      </c>
      <c r="E18" s="93">
        <f t="shared" ref="E18:J18" si="2">E16/E6</f>
        <v>92.248062015503876</v>
      </c>
      <c r="F18" s="93">
        <f t="shared" si="2"/>
        <v>129.45736434108528</v>
      </c>
      <c r="G18" s="93">
        <f t="shared" si="2"/>
        <v>106.2015503875969</v>
      </c>
      <c r="H18" s="93">
        <f t="shared" si="2"/>
        <v>165.11627906976744</v>
      </c>
      <c r="I18" s="93">
        <f t="shared" si="2"/>
        <v>109.30232558139535</v>
      </c>
      <c r="J18" s="93">
        <f t="shared" si="2"/>
        <v>145.73643410852713</v>
      </c>
      <c r="K18" s="86"/>
      <c r="L18" s="89"/>
      <c r="M18" s="89"/>
      <c r="N18" s="89"/>
      <c r="O18" s="89"/>
      <c r="R18" s="81"/>
      <c r="S18" s="92"/>
      <c r="T18" s="92"/>
      <c r="U18" s="92"/>
    </row>
    <row r="19" spans="1:23" s="72" customFormat="1" ht="13.5" x14ac:dyDescent="0.25">
      <c r="A19" s="82"/>
      <c r="B19" s="82"/>
      <c r="C19" s="86"/>
      <c r="D19" s="86"/>
      <c r="E19" s="86"/>
      <c r="F19" s="86"/>
      <c r="G19" s="86"/>
      <c r="H19" s="86"/>
      <c r="I19" s="86"/>
      <c r="J19" s="86"/>
      <c r="K19" s="86"/>
      <c r="L19" s="85"/>
      <c r="M19" s="85"/>
      <c r="N19" s="85"/>
      <c r="O19" s="85"/>
    </row>
    <row r="20" spans="1:23" s="72" customFormat="1" ht="13.5" x14ac:dyDescent="0.25">
      <c r="A20" s="90"/>
      <c r="B20" s="78" t="s">
        <v>177</v>
      </c>
      <c r="C20" s="91"/>
      <c r="D20" s="86"/>
      <c r="E20" s="86"/>
      <c r="F20" s="86"/>
      <c r="G20" s="86"/>
      <c r="H20" s="86"/>
      <c r="I20" s="86"/>
      <c r="J20" s="86"/>
      <c r="K20" s="86"/>
      <c r="L20" s="85"/>
      <c r="M20" s="85"/>
      <c r="N20" s="85"/>
      <c r="O20" s="85"/>
    </row>
    <row r="21" spans="1:23" s="207" customFormat="1" ht="13.5" x14ac:dyDescent="0.25">
      <c r="A21" s="83"/>
      <c r="B21" s="83" t="s">
        <v>208</v>
      </c>
      <c r="C21" s="86">
        <f>'MXDH-Large Test Fit'!C45</f>
        <v>21470</v>
      </c>
      <c r="D21" s="247">
        <f>'MXDH-Large Test Fit'!C32</f>
        <v>21470</v>
      </c>
      <c r="E21" s="247">
        <f>'MXDH-Large Test Fit'!L26</f>
        <v>21470</v>
      </c>
      <c r="F21" s="247">
        <f>'MXDH-Large Test Fit'!L33</f>
        <v>21470</v>
      </c>
      <c r="G21" s="247">
        <v>0</v>
      </c>
      <c r="H21" s="247">
        <v>0</v>
      </c>
      <c r="I21" s="247">
        <v>0</v>
      </c>
      <c r="J21" s="247">
        <v>0</v>
      </c>
      <c r="K21" s="247"/>
      <c r="L21" s="119"/>
      <c r="M21" s="119"/>
      <c r="N21" s="119"/>
      <c r="O21" s="119"/>
    </row>
    <row r="22" spans="1:23" s="72" customFormat="1" ht="13.5" x14ac:dyDescent="0.25">
      <c r="A22" s="82"/>
      <c r="B22" s="82"/>
      <c r="C22" s="86"/>
      <c r="D22" s="86"/>
      <c r="E22" s="86"/>
      <c r="F22" s="86"/>
      <c r="G22" s="86"/>
      <c r="H22" s="86"/>
      <c r="I22" s="86"/>
      <c r="J22" s="86"/>
      <c r="K22" s="86"/>
      <c r="L22" s="85"/>
      <c r="M22" s="85"/>
      <c r="N22" s="85"/>
      <c r="O22" s="85"/>
    </row>
    <row r="23" spans="1:23" s="72" customFormat="1" ht="13.5" x14ac:dyDescent="0.25">
      <c r="A23" s="90"/>
      <c r="B23" s="78" t="s">
        <v>0</v>
      </c>
      <c r="C23" s="91"/>
      <c r="D23" s="86"/>
      <c r="E23" s="86"/>
      <c r="F23" s="86"/>
      <c r="G23" s="86"/>
      <c r="H23" s="86"/>
      <c r="I23" s="86"/>
      <c r="J23" s="86"/>
      <c r="K23" s="86"/>
      <c r="L23" s="85"/>
      <c r="M23" s="85"/>
      <c r="N23" s="85"/>
      <c r="O23" s="85"/>
    </row>
    <row r="24" spans="1:23" s="72" customFormat="1" ht="13.5" x14ac:dyDescent="0.25">
      <c r="A24" s="83"/>
      <c r="B24" s="82" t="s">
        <v>210</v>
      </c>
      <c r="C24" s="245">
        <f>'MXDH-Large Test Fit'!G46</f>
        <v>123.61789767441861</v>
      </c>
      <c r="D24" s="86">
        <f>'MXDH-Large Test Fit'!F52+'MXDH-Large Test Fit'!F53+'MXDH-Large Test Fit'!F54</f>
        <v>147.76673488372091</v>
      </c>
      <c r="E24" s="86">
        <f>'MXDH-Large Test Fit'!P46</f>
        <v>152.71888372093025</v>
      </c>
      <c r="F24" s="86">
        <f>'MXDH-Large Test Fit'!P57</f>
        <v>213.67069767441862</v>
      </c>
      <c r="G24" s="86">
        <f>'MXDH-Large Test Fit'!X46</f>
        <v>174.86288372093028</v>
      </c>
      <c r="H24" s="86"/>
      <c r="I24" s="86">
        <f>'MXDH-Large Test Fit'!AF46</f>
        <v>180.19423255813956</v>
      </c>
      <c r="J24" s="86">
        <f>'MXDH-Large Test Fit'!AG57</f>
        <v>241.14604651162796</v>
      </c>
      <c r="K24" s="86"/>
      <c r="L24" s="85"/>
      <c r="M24" s="85"/>
      <c r="N24" s="85"/>
      <c r="O24" s="85"/>
    </row>
    <row r="25" spans="1:23" s="72" customFormat="1" ht="13.5" x14ac:dyDescent="0.25">
      <c r="A25" s="83"/>
      <c r="B25" s="82" t="s">
        <v>211</v>
      </c>
      <c r="C25" s="245">
        <f>'MXDH-Large Test Fit'!F45</f>
        <v>85.88</v>
      </c>
      <c r="D25" s="86">
        <f>'MXDH-Large Test Fit'!F56</f>
        <v>85.88</v>
      </c>
      <c r="E25" s="86">
        <f>'MXDH-Large Test Fit'!O45</f>
        <v>85.88</v>
      </c>
      <c r="F25" s="86">
        <f>'MXDH-Large Test Fit'!O56</f>
        <v>85.88</v>
      </c>
      <c r="G25" s="86">
        <v>0</v>
      </c>
      <c r="H25" s="86">
        <v>0</v>
      </c>
      <c r="I25" s="86">
        <v>0</v>
      </c>
      <c r="J25" s="86">
        <v>0</v>
      </c>
      <c r="K25" s="86"/>
      <c r="L25" s="85"/>
      <c r="M25" s="85"/>
      <c r="N25" s="85"/>
      <c r="O25" s="85"/>
    </row>
    <row r="26" spans="1:23" s="257" customFormat="1" ht="13.5" x14ac:dyDescent="0.25">
      <c r="A26" s="253"/>
      <c r="B26" s="253" t="s">
        <v>204</v>
      </c>
      <c r="C26" s="254">
        <f>SUM(C24:C25)</f>
        <v>209.4978976744186</v>
      </c>
      <c r="D26" s="254">
        <f>SUM(D24:D25)</f>
        <v>233.64673488372091</v>
      </c>
      <c r="E26" s="254">
        <f t="shared" ref="E26:F26" si="3">SUM(E24:E25)</f>
        <v>238.59888372093025</v>
      </c>
      <c r="F26" s="254">
        <f t="shared" si="3"/>
        <v>299.55069767441864</v>
      </c>
      <c r="G26" s="254"/>
      <c r="H26" s="254"/>
      <c r="I26" s="254"/>
      <c r="J26" s="254"/>
      <c r="K26" s="255"/>
      <c r="L26" s="256"/>
      <c r="M26" s="256"/>
      <c r="N26" s="256"/>
      <c r="O26" s="256"/>
    </row>
    <row r="27" spans="1:23" s="72" customFormat="1" ht="13.5" x14ac:dyDescent="0.25">
      <c r="A27" s="82"/>
      <c r="B27" s="94" t="s">
        <v>209</v>
      </c>
      <c r="C27" s="86">
        <f>'MXDH-Large Test Fit'!F34</f>
        <v>86.331601250000006</v>
      </c>
      <c r="D27" s="86">
        <f>'MXDH-Large Test Fit'!F34</f>
        <v>86.331601250000006</v>
      </c>
      <c r="E27" s="86">
        <f>'MXDH-Large Test Fit'!O28</f>
        <v>157.14364555555557</v>
      </c>
      <c r="F27" s="86">
        <f>'MXDH-Large Test Fit'!O35</f>
        <v>157.14364555555557</v>
      </c>
      <c r="G27" s="86">
        <f>'MXDH-Large Test Fit'!W28</f>
        <v>90.454999999999998</v>
      </c>
      <c r="H27" s="86">
        <f>'MXDH-Large Test Fit'!W35</f>
        <v>90.454999999999998</v>
      </c>
      <c r="I27" s="261">
        <v>161</v>
      </c>
      <c r="J27" s="86">
        <f>'MXDH-Large Test Fit'!AE35</f>
        <v>160.8088888888889</v>
      </c>
      <c r="K27" s="86"/>
      <c r="L27" s="85"/>
      <c r="M27" s="96"/>
      <c r="N27" s="96"/>
      <c r="O27" s="96"/>
      <c r="P27" s="96"/>
      <c r="Q27" s="96"/>
      <c r="R27" s="96"/>
      <c r="T27" s="96"/>
      <c r="U27" s="96"/>
      <c r="V27" s="96"/>
      <c r="W27" s="96"/>
    </row>
    <row r="28" spans="1:23" s="72" customFormat="1" ht="13.5" x14ac:dyDescent="0.25">
      <c r="A28" s="82"/>
      <c r="B28" s="97" t="s">
        <v>223</v>
      </c>
      <c r="C28" s="84">
        <f t="shared" ref="C28:J28" si="4">C27/C16</f>
        <v>0.90875369736842115</v>
      </c>
      <c r="D28" s="84">
        <f t="shared" si="4"/>
        <v>0.75729474780701755</v>
      </c>
      <c r="E28" s="84">
        <f t="shared" si="4"/>
        <v>1.3205348366013072</v>
      </c>
      <c r="F28" s="84">
        <f t="shared" si="4"/>
        <v>0.94097991350632071</v>
      </c>
      <c r="G28" s="84">
        <f t="shared" si="4"/>
        <v>0.66025547445255472</v>
      </c>
      <c r="H28" s="84">
        <f t="shared" si="4"/>
        <v>0.42467136150234741</v>
      </c>
      <c r="I28" s="84">
        <f t="shared" si="4"/>
        <v>1.1418439716312057</v>
      </c>
      <c r="J28" s="84">
        <f t="shared" si="4"/>
        <v>0.85536643026004733</v>
      </c>
      <c r="K28" s="88"/>
      <c r="L28" s="85"/>
      <c r="M28" s="85"/>
      <c r="N28" s="85"/>
    </row>
    <row r="29" spans="1:23" s="72" customFormat="1" ht="13.5" x14ac:dyDescent="0.25">
      <c r="A29" s="82"/>
      <c r="B29" s="97"/>
      <c r="C29" s="95"/>
      <c r="D29" s="88"/>
      <c r="E29" s="88"/>
      <c r="F29" s="88"/>
      <c r="G29" s="88"/>
      <c r="H29" s="88"/>
      <c r="I29" s="88"/>
      <c r="J29" s="88"/>
      <c r="K29" s="88"/>
      <c r="L29" s="85"/>
      <c r="M29" s="85"/>
      <c r="N29" s="85"/>
    </row>
    <row r="30" spans="1:23" s="72" customFormat="1" ht="13.5" x14ac:dyDescent="0.25">
      <c r="A30" s="82"/>
      <c r="B30" s="94" t="s">
        <v>91</v>
      </c>
      <c r="C30" s="86"/>
      <c r="D30" s="86"/>
      <c r="E30" s="86"/>
      <c r="F30" s="86"/>
      <c r="G30" s="86"/>
      <c r="H30" s="86"/>
      <c r="I30" s="86"/>
      <c r="J30" s="86"/>
      <c r="K30" s="86"/>
      <c r="L30" s="85"/>
      <c r="M30" s="85"/>
      <c r="N30" s="85"/>
      <c r="O30" s="85"/>
    </row>
    <row r="31" spans="1:23" s="72" customFormat="1" ht="13.5" x14ac:dyDescent="0.25">
      <c r="A31" s="82"/>
      <c r="B31" s="97" t="s">
        <v>86</v>
      </c>
      <c r="C31" s="86"/>
      <c r="D31" s="86"/>
      <c r="E31" s="86"/>
      <c r="F31" s="86"/>
      <c r="G31" s="86"/>
      <c r="H31" s="86"/>
      <c r="I31" s="86"/>
      <c r="J31" s="86"/>
      <c r="K31" s="86"/>
      <c r="L31" s="85"/>
      <c r="M31" s="85"/>
      <c r="N31" s="85"/>
      <c r="O31" s="85"/>
    </row>
    <row r="32" spans="1:23" s="72" customFormat="1" ht="13.5" x14ac:dyDescent="0.25">
      <c r="A32" s="82"/>
      <c r="B32" s="97" t="s">
        <v>89</v>
      </c>
      <c r="C32" s="86">
        <f>'MXDH-Large Test Fit'!F25</f>
        <v>34532.640500000001</v>
      </c>
      <c r="D32" s="86">
        <f>'MXDH-Large Test Fit'!F32</f>
        <v>34532.640500000001</v>
      </c>
      <c r="E32" s="86">
        <f>'MXDH-Large Test Fit'!O26</f>
        <v>70714.640500000009</v>
      </c>
      <c r="F32" s="86">
        <f>'MXDH-Large Test Fit'!O33</f>
        <v>70714.640500000009</v>
      </c>
      <c r="G32" s="86">
        <f>'MXDH-Large Test Fit'!W26</f>
        <v>36182</v>
      </c>
      <c r="H32" s="86">
        <f>'MXDH-Large Test Fit'!W33</f>
        <v>36182</v>
      </c>
      <c r="I32" s="86">
        <f>'MXDH-Large Test Fit'!AE26</f>
        <v>72364</v>
      </c>
      <c r="J32" s="86">
        <f>'MXDH-Large Test Fit'!AE33</f>
        <v>72364</v>
      </c>
      <c r="K32" s="86"/>
      <c r="L32" s="85"/>
      <c r="M32" s="85"/>
      <c r="N32" s="85"/>
      <c r="O32" s="85"/>
    </row>
    <row r="33" spans="1:20" s="72" customFormat="1" ht="13.5" x14ac:dyDescent="0.25">
      <c r="A33" s="82"/>
      <c r="B33" s="97" t="s">
        <v>88</v>
      </c>
      <c r="C33" s="86"/>
      <c r="D33" s="88"/>
      <c r="E33" s="88"/>
      <c r="F33" s="88"/>
      <c r="G33" s="88"/>
      <c r="H33" s="88"/>
      <c r="I33" s="88"/>
      <c r="J33" s="88"/>
      <c r="K33" s="88"/>
      <c r="L33" s="85"/>
      <c r="M33" s="85"/>
      <c r="N33" s="85"/>
    </row>
    <row r="34" spans="1:20" s="72" customFormat="1" ht="13.5" x14ac:dyDescent="0.25">
      <c r="A34" s="82"/>
      <c r="B34" s="98" t="s">
        <v>90</v>
      </c>
      <c r="C34" s="99"/>
      <c r="D34" s="86"/>
      <c r="E34" s="86"/>
      <c r="F34" s="86"/>
      <c r="G34" s="86"/>
      <c r="H34" s="86"/>
      <c r="I34" s="86"/>
      <c r="J34" s="86"/>
      <c r="K34" s="86"/>
      <c r="L34" s="85"/>
      <c r="M34" s="85"/>
      <c r="N34" s="85"/>
    </row>
    <row r="35" spans="1:20" s="72" customFormat="1" ht="13.5" x14ac:dyDescent="0.25">
      <c r="A35" s="82"/>
      <c r="B35" s="100" t="s">
        <v>73</v>
      </c>
      <c r="C35" s="101">
        <f>SUM(C31:C34)</f>
        <v>34532.640500000001</v>
      </c>
      <c r="D35" s="101">
        <f>SUM(D31:D34)</f>
        <v>34532.640500000001</v>
      </c>
      <c r="E35" s="101">
        <f t="shared" ref="E35:F35" si="5">SUM(E31:E34)</f>
        <v>70714.640500000009</v>
      </c>
      <c r="F35" s="101">
        <f t="shared" si="5"/>
        <v>70714.640500000009</v>
      </c>
      <c r="G35" s="101">
        <f t="shared" ref="G35" si="6">SUM(G31:G34)</f>
        <v>36182</v>
      </c>
      <c r="H35" s="101">
        <f t="shared" ref="H35" si="7">SUM(H31:H34)</f>
        <v>36182</v>
      </c>
      <c r="I35" s="101">
        <f t="shared" ref="I35" si="8">SUM(I31:I34)</f>
        <v>72364</v>
      </c>
      <c r="J35" s="101">
        <f t="shared" ref="J35" si="9">SUM(J31:J34)</f>
        <v>72364</v>
      </c>
      <c r="K35" s="86"/>
      <c r="L35" s="89"/>
      <c r="M35" s="89"/>
      <c r="N35" s="89"/>
    </row>
    <row r="36" spans="1:20" s="72" customFormat="1" ht="13.5" x14ac:dyDescent="0.25">
      <c r="A36" s="102"/>
      <c r="B36" s="102"/>
      <c r="C36" s="103"/>
      <c r="D36" s="86"/>
      <c r="E36" s="86"/>
      <c r="F36" s="86"/>
      <c r="G36" s="86"/>
      <c r="H36" s="86"/>
      <c r="I36" s="86"/>
      <c r="J36" s="86"/>
      <c r="K36" s="86"/>
      <c r="L36" s="89"/>
      <c r="M36" s="89"/>
      <c r="N36" s="89"/>
    </row>
    <row r="37" spans="1:20" x14ac:dyDescent="0.25">
      <c r="B37" s="59" t="s">
        <v>214</v>
      </c>
      <c r="D37" s="64"/>
      <c r="E37" s="64"/>
      <c r="F37" s="64"/>
      <c r="G37" s="64"/>
      <c r="H37" s="64"/>
      <c r="I37" s="64"/>
      <c r="J37" s="64"/>
      <c r="K37" s="64"/>
      <c r="L37" s="58"/>
      <c r="M37" s="58"/>
      <c r="N37" s="58"/>
    </row>
    <row r="38" spans="1:20" x14ac:dyDescent="0.25">
      <c r="C38" s="63"/>
      <c r="D38" s="64"/>
      <c r="E38" s="64"/>
      <c r="F38" s="64"/>
      <c r="G38" s="64"/>
      <c r="H38" s="64"/>
      <c r="I38" s="64"/>
      <c r="J38" s="64"/>
      <c r="K38" s="64"/>
      <c r="L38" s="58"/>
      <c r="M38" s="58"/>
      <c r="N38" s="58"/>
    </row>
    <row r="39" spans="1:20" s="72" customFormat="1" ht="13.5" x14ac:dyDescent="0.25">
      <c r="C39" s="104"/>
      <c r="D39" s="88"/>
      <c r="E39" s="88"/>
      <c r="F39" s="88"/>
      <c r="G39" s="88"/>
      <c r="H39" s="88"/>
      <c r="I39" s="88"/>
      <c r="J39" s="88"/>
      <c r="K39" s="88"/>
      <c r="L39" s="89"/>
      <c r="M39" s="89"/>
      <c r="N39" s="89"/>
    </row>
    <row r="40" spans="1:20" s="72" customFormat="1" ht="13.5" x14ac:dyDescent="0.25">
      <c r="C40" s="104"/>
      <c r="D40" s="104"/>
      <c r="E40" s="104"/>
      <c r="F40" s="104"/>
      <c r="G40" s="104"/>
      <c r="H40" s="104"/>
      <c r="I40" s="104"/>
      <c r="J40" s="104"/>
      <c r="K40" s="104"/>
      <c r="L40" s="89"/>
      <c r="M40" s="89"/>
      <c r="N40" s="89"/>
    </row>
    <row r="41" spans="1:20" s="72" customFormat="1" ht="13.5" x14ac:dyDescent="0.25">
      <c r="C41" s="104"/>
      <c r="D41" s="104"/>
      <c r="E41" s="104"/>
      <c r="F41" s="104"/>
      <c r="G41" s="104"/>
      <c r="H41" s="104"/>
      <c r="I41" s="104"/>
      <c r="J41" s="104"/>
      <c r="K41" s="104"/>
      <c r="L41" s="89"/>
      <c r="M41" s="89"/>
      <c r="N41" s="89"/>
      <c r="O41" s="89"/>
    </row>
    <row r="42" spans="1:20" x14ac:dyDescent="0.25">
      <c r="C42" s="249"/>
      <c r="D42" s="63"/>
      <c r="E42" s="63"/>
      <c r="F42" s="63"/>
      <c r="G42" s="63"/>
      <c r="H42" s="63"/>
      <c r="I42" s="63"/>
      <c r="J42" s="63"/>
      <c r="K42" s="63"/>
      <c r="L42" s="58"/>
      <c r="M42" s="58"/>
      <c r="N42" s="58"/>
      <c r="O42" s="58"/>
    </row>
    <row r="43" spans="1:20" x14ac:dyDescent="0.25">
      <c r="D43" s="63"/>
      <c r="E43" s="63"/>
      <c r="F43" s="63"/>
      <c r="G43" s="63"/>
      <c r="H43" s="63"/>
      <c r="I43" s="63"/>
      <c r="J43" s="63"/>
      <c r="K43" s="63"/>
      <c r="L43" s="58"/>
      <c r="M43" s="58"/>
      <c r="N43" s="58"/>
      <c r="O43" s="62"/>
      <c r="R43" s="60"/>
      <c r="S43" s="60"/>
    </row>
    <row r="44" spans="1:20" x14ac:dyDescent="0.25">
      <c r="O44" s="62"/>
      <c r="R44" s="67"/>
      <c r="S44" s="68"/>
    </row>
    <row r="45" spans="1:20" x14ac:dyDescent="0.25">
      <c r="O45" s="62"/>
      <c r="R45" s="67"/>
      <c r="S45" s="68"/>
    </row>
    <row r="46" spans="1:20" x14ac:dyDescent="0.25">
      <c r="O46" s="62"/>
      <c r="R46" s="67"/>
      <c r="S46" s="68"/>
    </row>
    <row r="47" spans="1:20" x14ac:dyDescent="0.25">
      <c r="O47" s="58"/>
    </row>
    <row r="48" spans="1:20" x14ac:dyDescent="0.25">
      <c r="O48" s="58"/>
      <c r="R48" s="67"/>
      <c r="S48" s="68"/>
      <c r="T48" s="65"/>
    </row>
    <row r="49" spans="15:20" x14ac:dyDescent="0.25">
      <c r="O49" s="58"/>
      <c r="R49" s="67"/>
      <c r="S49" s="68"/>
      <c r="T49" s="65"/>
    </row>
    <row r="50" spans="15:20" x14ac:dyDescent="0.25">
      <c r="O50" s="58"/>
      <c r="R50" s="67"/>
      <c r="S50" s="68"/>
      <c r="T50" s="65"/>
    </row>
    <row r="51" spans="15:20" x14ac:dyDescent="0.25">
      <c r="O51" s="58"/>
      <c r="R51" s="67"/>
      <c r="S51" s="68"/>
      <c r="T51" s="65"/>
    </row>
    <row r="52" spans="15:20" x14ac:dyDescent="0.25">
      <c r="O52" s="58"/>
    </row>
  </sheetData>
  <sheetProtection algorithmName="SHA-512" hashValue="3uxkful3YF6CEV0v+uSwG54byq6/AttqSg/l/sgbum1WRb2n2C3psLn/8PVBUrj4sZVnzBWWyCbNyeoJTEg8DA==" saltValue="mkmW3fBL556vtTdfTOEC1g==" spinCount="100000" sheet="1" objects="1" scenarios="1"/>
  <pageMargins left="0.7" right="0.7" top="0.75" bottom="0.75" header="0.3" footer="0.3"/>
  <pageSetup paperSize="138" scale="6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2" tint="-9.9978637043366805E-2"/>
  </sheetPr>
  <dimension ref="B2:AH75"/>
  <sheetViews>
    <sheetView topLeftCell="J20" zoomScaleNormal="100" workbookViewId="0">
      <selection activeCell="B44" sqref="B44"/>
    </sheetView>
  </sheetViews>
  <sheetFormatPr defaultColWidth="10.5703125" defaultRowHeight="12" x14ac:dyDescent="0.2"/>
  <cols>
    <col min="1" max="1" width="6" customWidth="1"/>
    <col min="2" max="2" width="23.42578125" customWidth="1"/>
    <col min="3" max="3" width="15.140625" customWidth="1"/>
    <col min="4" max="4" width="13.5703125" customWidth="1"/>
    <col min="5" max="5" width="12.85546875" customWidth="1"/>
    <col min="6" max="7" width="12.42578125" customWidth="1"/>
    <col min="8" max="8" width="5.42578125" bestFit="1" customWidth="1"/>
    <col min="9" max="9" width="9.85546875" bestFit="1" customWidth="1"/>
    <col min="10" max="10" width="3.85546875" customWidth="1"/>
    <col min="11" max="11" width="23" bestFit="1" customWidth="1"/>
    <col min="12" max="12" width="11.85546875" customWidth="1"/>
    <col min="13" max="13" width="15" customWidth="1"/>
    <col min="14" max="14" width="12.140625" customWidth="1"/>
    <col min="15" max="15" width="12.5703125" customWidth="1"/>
    <col min="16" max="16" width="12.140625" customWidth="1"/>
    <col min="17" max="17" width="10" customWidth="1"/>
    <col min="18" max="18" width="9.85546875" bestFit="1" customWidth="1"/>
    <col min="19" max="19" width="4.140625" customWidth="1"/>
    <col min="20" max="20" width="25" customWidth="1"/>
    <col min="21" max="21" width="14.140625" customWidth="1"/>
    <col min="27" max="27" width="4.5703125" customWidth="1"/>
    <col min="28" max="28" width="25.42578125" bestFit="1" customWidth="1"/>
  </cols>
  <sheetData>
    <row r="2" spans="2:23" ht="15" x14ac:dyDescent="0.25">
      <c r="B2" s="213" t="s">
        <v>146</v>
      </c>
      <c r="C2" s="213"/>
      <c r="D2" s="214">
        <v>56002</v>
      </c>
      <c r="E2" s="214"/>
      <c r="K2" s="215"/>
      <c r="L2" s="216"/>
      <c r="T2" s="215" t="s">
        <v>147</v>
      </c>
      <c r="U2" s="216"/>
    </row>
    <row r="3" spans="2:23" ht="15.75" x14ac:dyDescent="0.25">
      <c r="B3" t="s">
        <v>148</v>
      </c>
      <c r="C3" s="217">
        <v>43560</v>
      </c>
      <c r="D3" s="218">
        <f>D2/C3</f>
        <v>1.2856290174471994</v>
      </c>
      <c r="E3" s="219" t="s">
        <v>149</v>
      </c>
      <c r="K3" s="214"/>
      <c r="L3" s="218"/>
      <c r="N3" s="213"/>
      <c r="T3" s="214"/>
      <c r="U3" s="218"/>
      <c r="W3" s="213"/>
    </row>
    <row r="4" spans="2:23" ht="15.75" x14ac:dyDescent="0.25">
      <c r="B4" t="s">
        <v>1</v>
      </c>
      <c r="C4">
        <v>1.75</v>
      </c>
      <c r="D4" s="220">
        <f>D2*C4</f>
        <v>98003.5</v>
      </c>
      <c r="E4" s="219" t="s">
        <v>150</v>
      </c>
      <c r="K4" s="213"/>
      <c r="L4" s="213"/>
      <c r="M4" s="213"/>
      <c r="N4" s="213"/>
      <c r="T4" s="213" t="s">
        <v>151</v>
      </c>
      <c r="U4" s="213" t="s">
        <v>152</v>
      </c>
      <c r="V4" s="213" t="s">
        <v>153</v>
      </c>
      <c r="W4" s="213" t="s">
        <v>154</v>
      </c>
    </row>
    <row r="5" spans="2:23" ht="15.75" x14ac:dyDescent="0.25">
      <c r="B5" t="s">
        <v>1</v>
      </c>
      <c r="C5">
        <v>2.75</v>
      </c>
      <c r="D5" s="220">
        <f>C5*D2</f>
        <v>154005.5</v>
      </c>
      <c r="E5" s="219" t="s">
        <v>150</v>
      </c>
      <c r="L5" s="221"/>
      <c r="N5" s="222"/>
      <c r="T5" t="s">
        <v>155</v>
      </c>
      <c r="U5" s="221">
        <f>C14*U8</f>
        <v>65.600000000000009</v>
      </c>
      <c r="V5">
        <v>1</v>
      </c>
      <c r="W5" s="222">
        <f>U5*V5</f>
        <v>65.600000000000009</v>
      </c>
    </row>
    <row r="6" spans="2:23" ht="15.75" x14ac:dyDescent="0.25">
      <c r="B6" t="s">
        <v>156</v>
      </c>
      <c r="C6">
        <v>55</v>
      </c>
      <c r="D6" s="220">
        <f>C6*D3</f>
        <v>70.709595959595958</v>
      </c>
      <c r="E6" s="219" t="s">
        <v>157</v>
      </c>
      <c r="L6" s="221"/>
      <c r="N6" s="222"/>
      <c r="T6" t="s">
        <v>158</v>
      </c>
      <c r="U6" s="221">
        <f>C15*U8</f>
        <v>14.399999999999999</v>
      </c>
      <c r="V6">
        <v>2</v>
      </c>
      <c r="W6" s="222">
        <f>U6*V6</f>
        <v>28.799999999999997</v>
      </c>
    </row>
    <row r="7" spans="2:23" x14ac:dyDescent="0.2">
      <c r="L7" s="221"/>
      <c r="M7" s="211"/>
      <c r="N7" s="223"/>
      <c r="T7" t="s">
        <v>159</v>
      </c>
      <c r="U7" s="221">
        <f>SUM(U5:U6)</f>
        <v>80</v>
      </c>
      <c r="V7" s="211">
        <v>0.1</v>
      </c>
      <c r="W7" s="223">
        <f>U7*V7</f>
        <v>8</v>
      </c>
    </row>
    <row r="8" spans="2:23" ht="15" x14ac:dyDescent="0.25">
      <c r="K8" s="213"/>
      <c r="L8" s="221"/>
      <c r="M8" s="213"/>
      <c r="N8" s="224"/>
      <c r="T8" s="213" t="s">
        <v>100</v>
      </c>
      <c r="U8" s="225">
        <v>80</v>
      </c>
      <c r="V8" s="213"/>
      <c r="W8" s="224">
        <f>SUM(W5:W7)</f>
        <v>102.4</v>
      </c>
    </row>
    <row r="9" spans="2:23" ht="15" x14ac:dyDescent="0.25">
      <c r="B9" s="213" t="s">
        <v>160</v>
      </c>
      <c r="C9" s="213"/>
      <c r="K9" s="214"/>
      <c r="L9" s="221"/>
      <c r="M9" s="218"/>
      <c r="O9" s="213"/>
    </row>
    <row r="10" spans="2:23" ht="15.75" x14ac:dyDescent="0.25">
      <c r="B10" t="s">
        <v>161</v>
      </c>
      <c r="C10" s="217">
        <v>860</v>
      </c>
      <c r="D10" s="219" t="s">
        <v>162</v>
      </c>
      <c r="E10" s="219" t="s">
        <v>163</v>
      </c>
      <c r="G10" s="218"/>
      <c r="L10" s="221"/>
    </row>
    <row r="11" spans="2:23" ht="15.75" x14ac:dyDescent="0.25">
      <c r="B11" t="s">
        <v>164</v>
      </c>
      <c r="C11">
        <v>400</v>
      </c>
      <c r="D11" s="219" t="s">
        <v>165</v>
      </c>
      <c r="E11" s="219" t="s">
        <v>163</v>
      </c>
      <c r="M11" s="221"/>
      <c r="O11" s="222"/>
    </row>
    <row r="12" spans="2:23" ht="15.75" x14ac:dyDescent="0.25">
      <c r="B12" t="s">
        <v>166</v>
      </c>
      <c r="C12">
        <v>450</v>
      </c>
      <c r="D12" s="219" t="s">
        <v>165</v>
      </c>
      <c r="E12" s="219" t="s">
        <v>163</v>
      </c>
      <c r="M12" s="221"/>
      <c r="O12" s="222"/>
      <c r="U12" s="220">
        <f>SUM(AC23,AE23)</f>
        <v>55764</v>
      </c>
    </row>
    <row r="13" spans="2:23" ht="15.75" x14ac:dyDescent="0.25">
      <c r="B13" t="s">
        <v>167</v>
      </c>
      <c r="D13" s="219"/>
      <c r="E13" s="219"/>
      <c r="M13" s="221"/>
      <c r="O13" s="222"/>
      <c r="U13" s="220">
        <f>U23</f>
        <v>40952</v>
      </c>
    </row>
    <row r="14" spans="2:23" ht="15.75" x14ac:dyDescent="0.25">
      <c r="B14" s="26" t="s">
        <v>168</v>
      </c>
      <c r="C14" s="211">
        <f>33%+49%</f>
        <v>0.82000000000000006</v>
      </c>
      <c r="D14" s="219" t="s">
        <v>169</v>
      </c>
      <c r="E14" s="219"/>
      <c r="K14" s="213"/>
      <c r="L14" s="213"/>
      <c r="M14" s="221"/>
      <c r="N14" s="213"/>
      <c r="O14" s="224"/>
      <c r="U14" s="220">
        <f>U12-U13</f>
        <v>14812</v>
      </c>
    </row>
    <row r="15" spans="2:23" ht="15.75" x14ac:dyDescent="0.25">
      <c r="B15" s="26" t="s">
        <v>170</v>
      </c>
      <c r="C15" s="211">
        <f>16%+2%</f>
        <v>0.18</v>
      </c>
      <c r="D15" s="219" t="s">
        <v>169</v>
      </c>
      <c r="E15" s="219"/>
    </row>
    <row r="16" spans="2:23" ht="15.75" x14ac:dyDescent="0.25">
      <c r="B16" s="26"/>
      <c r="C16" s="211">
        <f>SUM(C14:C15)</f>
        <v>1</v>
      </c>
      <c r="D16" s="219"/>
      <c r="E16" s="219"/>
    </row>
    <row r="17" spans="2:34" x14ac:dyDescent="0.2">
      <c r="B17" s="26"/>
      <c r="C17" s="211"/>
    </row>
    <row r="18" spans="2:34" x14ac:dyDescent="0.2">
      <c r="B18" s="242" t="s">
        <v>206</v>
      </c>
    </row>
    <row r="19" spans="2:34" ht="15.75" x14ac:dyDescent="0.25">
      <c r="B19" s="226" t="s">
        <v>142</v>
      </c>
      <c r="C19" s="226" t="s">
        <v>171</v>
      </c>
      <c r="D19" s="227"/>
      <c r="E19" s="227"/>
      <c r="F19" s="227"/>
      <c r="G19" s="227"/>
      <c r="H19" s="227"/>
      <c r="I19" s="227"/>
      <c r="K19" s="226" t="s">
        <v>141</v>
      </c>
      <c r="L19" s="226"/>
      <c r="M19" s="226" t="s">
        <v>171</v>
      </c>
      <c r="N19" s="227"/>
      <c r="O19" s="227"/>
      <c r="P19" s="227"/>
      <c r="Q19" s="227"/>
      <c r="R19" s="227"/>
      <c r="T19" s="226" t="s">
        <v>172</v>
      </c>
      <c r="U19" s="226" t="s">
        <v>173</v>
      </c>
      <c r="V19" s="227"/>
      <c r="W19" s="227"/>
      <c r="X19" s="227"/>
      <c r="Y19" s="227"/>
      <c r="Z19" s="227"/>
      <c r="AB19" s="226" t="s">
        <v>174</v>
      </c>
      <c r="AC19" s="226" t="s">
        <v>173</v>
      </c>
      <c r="AD19" s="227"/>
      <c r="AE19" s="227"/>
      <c r="AF19" s="227"/>
      <c r="AG19" s="227"/>
      <c r="AH19" s="227"/>
    </row>
    <row r="20" spans="2:34" ht="15" x14ac:dyDescent="0.2">
      <c r="B20" s="228" t="s">
        <v>175</v>
      </c>
      <c r="K20" s="228" t="s">
        <v>175</v>
      </c>
      <c r="L20" s="228"/>
      <c r="T20" s="228" t="s">
        <v>175</v>
      </c>
      <c r="AB20" s="228" t="s">
        <v>175</v>
      </c>
    </row>
    <row r="21" spans="2:34" ht="16.5" thickBot="1" x14ac:dyDescent="0.3">
      <c r="B21" s="229" t="s">
        <v>176</v>
      </c>
      <c r="C21" s="229" t="s">
        <v>177</v>
      </c>
      <c r="D21" s="229" t="s">
        <v>98</v>
      </c>
      <c r="E21" s="229" t="s">
        <v>152</v>
      </c>
      <c r="F21" s="229" t="s">
        <v>0</v>
      </c>
      <c r="G21" s="229" t="s">
        <v>178</v>
      </c>
      <c r="H21" s="229" t="s">
        <v>1</v>
      </c>
      <c r="I21" s="229" t="s">
        <v>179</v>
      </c>
      <c r="J21" s="213"/>
      <c r="K21" s="229" t="s">
        <v>176</v>
      </c>
      <c r="L21" s="229" t="s">
        <v>177</v>
      </c>
      <c r="M21" s="229" t="s">
        <v>98</v>
      </c>
      <c r="N21" s="229" t="s">
        <v>152</v>
      </c>
      <c r="O21" s="229" t="s">
        <v>0</v>
      </c>
      <c r="P21" s="229" t="s">
        <v>178</v>
      </c>
      <c r="Q21" s="229" t="s">
        <v>1</v>
      </c>
      <c r="R21" s="229" t="s">
        <v>179</v>
      </c>
      <c r="T21" s="229" t="s">
        <v>176</v>
      </c>
      <c r="U21" s="229" t="s">
        <v>98</v>
      </c>
      <c r="V21" s="229" t="s">
        <v>152</v>
      </c>
      <c r="W21" s="229" t="s">
        <v>0</v>
      </c>
      <c r="X21" s="229" t="s">
        <v>178</v>
      </c>
      <c r="Y21" s="229" t="s">
        <v>1</v>
      </c>
      <c r="Z21" s="229" t="s">
        <v>179</v>
      </c>
      <c r="AB21" s="229" t="s">
        <v>176</v>
      </c>
      <c r="AC21" s="229" t="s">
        <v>98</v>
      </c>
      <c r="AD21" s="229" t="s">
        <v>152</v>
      </c>
      <c r="AE21" s="229" t="s">
        <v>0</v>
      </c>
      <c r="AF21" s="229" t="s">
        <v>178</v>
      </c>
      <c r="AG21" s="229" t="s">
        <v>1</v>
      </c>
      <c r="AH21" s="229" t="s">
        <v>179</v>
      </c>
    </row>
    <row r="22" spans="2:34" ht="12.75" thickTop="1" x14ac:dyDescent="0.2">
      <c r="B22" t="s">
        <v>180</v>
      </c>
      <c r="C22" s="217">
        <v>21470</v>
      </c>
      <c r="D22" s="217">
        <v>0</v>
      </c>
      <c r="F22" s="217">
        <v>34532.640500000001</v>
      </c>
      <c r="G22" s="217">
        <v>15</v>
      </c>
      <c r="H22" s="217"/>
      <c r="K22" t="s">
        <v>180</v>
      </c>
      <c r="L22" s="217">
        <v>21470</v>
      </c>
      <c r="M22" s="217">
        <v>0</v>
      </c>
      <c r="N22" s="223">
        <f>M22/$C$10</f>
        <v>0</v>
      </c>
      <c r="O22" s="217">
        <v>34532.640500000001</v>
      </c>
      <c r="P22">
        <v>15</v>
      </c>
      <c r="Q22" s="217"/>
      <c r="T22" t="s">
        <v>180</v>
      </c>
      <c r="U22" s="217">
        <v>19582</v>
      </c>
      <c r="V22" s="223">
        <f>U22/$C$10</f>
        <v>22.769767441860466</v>
      </c>
      <c r="W22" s="217">
        <v>36182</v>
      </c>
      <c r="X22">
        <v>15</v>
      </c>
      <c r="Y22" s="217"/>
      <c r="AB22" t="s">
        <v>180</v>
      </c>
      <c r="AC22" s="217">
        <v>19582</v>
      </c>
      <c r="AD22" s="223">
        <f>AC22/$C$10</f>
        <v>22.769767441860466</v>
      </c>
      <c r="AE22" s="217">
        <v>36182</v>
      </c>
      <c r="AF22">
        <v>15</v>
      </c>
      <c r="AG22" s="217"/>
    </row>
    <row r="23" spans="2:34" x14ac:dyDescent="0.2">
      <c r="B23" t="s">
        <v>181</v>
      </c>
      <c r="C23" s="217">
        <v>0</v>
      </c>
      <c r="D23" s="217">
        <v>40952</v>
      </c>
      <c r="E23" s="223">
        <f>D23/$C$10</f>
        <v>47.618604651162791</v>
      </c>
      <c r="F23" s="217">
        <v>0</v>
      </c>
      <c r="G23" s="217">
        <v>10</v>
      </c>
      <c r="H23" s="217"/>
      <c r="K23" t="s">
        <v>181</v>
      </c>
      <c r="L23" s="217">
        <v>0</v>
      </c>
      <c r="M23" s="217">
        <v>20704</v>
      </c>
      <c r="N23" s="223">
        <f>M23/$C$10</f>
        <v>24.074418604651164</v>
      </c>
      <c r="O23" s="217">
        <v>36182</v>
      </c>
      <c r="P23">
        <v>10</v>
      </c>
      <c r="Q23" s="217"/>
      <c r="T23" t="s">
        <v>181</v>
      </c>
      <c r="U23" s="217">
        <v>40952</v>
      </c>
      <c r="V23" s="223">
        <f>U23/$C$10</f>
        <v>47.618604651162791</v>
      </c>
      <c r="W23" s="217">
        <v>0</v>
      </c>
      <c r="X23">
        <v>10</v>
      </c>
      <c r="Y23" s="217"/>
      <c r="AB23" t="s">
        <v>181</v>
      </c>
      <c r="AC23" s="217">
        <v>19582</v>
      </c>
      <c r="AD23" s="223">
        <f>AC23/$C$10</f>
        <v>22.769767441860466</v>
      </c>
      <c r="AE23" s="217">
        <v>36182</v>
      </c>
      <c r="AF23">
        <v>10</v>
      </c>
      <c r="AG23" s="217"/>
    </row>
    <row r="24" spans="2:34" x14ac:dyDescent="0.2">
      <c r="B24" t="s">
        <v>182</v>
      </c>
      <c r="C24" s="217">
        <v>0</v>
      </c>
      <c r="D24" s="217">
        <v>40952</v>
      </c>
      <c r="E24" s="223">
        <f>D24/$C$10</f>
        <v>47.618604651162791</v>
      </c>
      <c r="F24" s="217">
        <v>0</v>
      </c>
      <c r="G24" s="217">
        <v>10</v>
      </c>
      <c r="H24" s="217"/>
      <c r="K24" t="s">
        <v>182</v>
      </c>
      <c r="L24" s="217">
        <v>0</v>
      </c>
      <c r="M24" s="217">
        <v>40952</v>
      </c>
      <c r="N24" s="223">
        <f>M24/$C$10</f>
        <v>47.618604651162791</v>
      </c>
      <c r="O24" s="217">
        <v>0</v>
      </c>
      <c r="P24">
        <v>10</v>
      </c>
      <c r="Q24" s="217"/>
      <c r="T24" t="s">
        <v>182</v>
      </c>
      <c r="U24" s="217">
        <v>40952</v>
      </c>
      <c r="V24" s="223">
        <f>U24/$C$10</f>
        <v>47.618604651162791</v>
      </c>
      <c r="W24" s="217">
        <v>0</v>
      </c>
      <c r="X24">
        <v>10</v>
      </c>
      <c r="Y24" s="217"/>
      <c r="AB24" t="s">
        <v>182</v>
      </c>
      <c r="AC24" s="217">
        <v>40952</v>
      </c>
      <c r="AD24" s="223">
        <f>AC24/$C$10</f>
        <v>47.618604651162791</v>
      </c>
      <c r="AE24" s="217">
        <v>0</v>
      </c>
      <c r="AF24">
        <v>10</v>
      </c>
      <c r="AG24" s="217"/>
    </row>
    <row r="25" spans="2:34" ht="15.75" x14ac:dyDescent="0.25">
      <c r="B25" s="230" t="s">
        <v>183</v>
      </c>
      <c r="C25" s="231">
        <f>SUM(C22:C24)</f>
        <v>21470</v>
      </c>
      <c r="D25" s="231">
        <f>SUM(D22:D24)</f>
        <v>81904</v>
      </c>
      <c r="E25" s="231">
        <f>SUM(E22:E24)</f>
        <v>95.237209302325581</v>
      </c>
      <c r="F25" s="231">
        <f>SUM(F22:F24)</f>
        <v>34532.640500000001</v>
      </c>
      <c r="G25" s="231">
        <f>SUM(G22:G24)</f>
        <v>35</v>
      </c>
      <c r="H25" s="232">
        <f>SUM(C25,D25,F25)/$D$2</f>
        <v>2.4625306328345418</v>
      </c>
      <c r="I25" s="233">
        <f>E25/($D$2/43560)</f>
        <v>74.078297868099384</v>
      </c>
      <c r="K25" t="s">
        <v>184</v>
      </c>
      <c r="L25" s="217">
        <v>0</v>
      </c>
      <c r="M25" s="217">
        <v>40952</v>
      </c>
      <c r="N25" s="223">
        <f>M25/$C$10</f>
        <v>47.618604651162791</v>
      </c>
      <c r="O25" s="217">
        <v>0</v>
      </c>
      <c r="P25">
        <v>10</v>
      </c>
      <c r="T25" t="s">
        <v>184</v>
      </c>
      <c r="U25" s="217">
        <v>16000</v>
      </c>
      <c r="V25" s="223">
        <f>U25/$C$10</f>
        <v>18.604651162790699</v>
      </c>
      <c r="W25" s="217">
        <v>0</v>
      </c>
      <c r="X25">
        <v>10</v>
      </c>
      <c r="AB25" t="s">
        <v>184</v>
      </c>
      <c r="AC25" s="217">
        <v>40952</v>
      </c>
      <c r="AD25" s="223">
        <f>AC25/$C$10</f>
        <v>47.618604651162791</v>
      </c>
      <c r="AE25" s="217">
        <v>0</v>
      </c>
      <c r="AF25">
        <v>10</v>
      </c>
    </row>
    <row r="26" spans="2:34" ht="15.75" x14ac:dyDescent="0.25">
      <c r="B26" s="213"/>
      <c r="C26" s="214"/>
      <c r="D26" s="214"/>
      <c r="F26" s="214"/>
      <c r="G26" s="214"/>
      <c r="H26" s="33"/>
      <c r="I26" s="33"/>
      <c r="K26" s="230" t="s">
        <v>185</v>
      </c>
      <c r="L26" s="234">
        <f>SUM(L22:L25)</f>
        <v>21470</v>
      </c>
      <c r="M26" s="234">
        <f>SUM(M22:M25)</f>
        <v>102608</v>
      </c>
      <c r="N26" s="234">
        <f>SUM(N22:N25)</f>
        <v>119.31162790697675</v>
      </c>
      <c r="O26" s="234">
        <f>SUM(O22:O25)</f>
        <v>70714.640500000009</v>
      </c>
      <c r="P26" s="234">
        <f>SUM(P22:P25)</f>
        <v>45</v>
      </c>
      <c r="Q26" s="235">
        <f>SUM(L26,M26,O26)/$D$2</f>
        <v>3.4783157833648799</v>
      </c>
      <c r="R26" s="233">
        <f>N26/($D$2/43560)</f>
        <v>92.804087561656857</v>
      </c>
      <c r="T26" s="230" t="s">
        <v>185</v>
      </c>
      <c r="U26" s="234">
        <f>SUM(U22:U25)</f>
        <v>117486</v>
      </c>
      <c r="V26" s="234">
        <f>SUM(V22:V25)</f>
        <v>136.61162790697676</v>
      </c>
      <c r="W26" s="234">
        <f>SUM(W22:W25)</f>
        <v>36182</v>
      </c>
      <c r="X26" s="234">
        <f>SUM(X22:X25)</f>
        <v>45</v>
      </c>
      <c r="Y26" s="232">
        <f>(U26+W26)/D2</f>
        <v>2.7439734295203744</v>
      </c>
      <c r="Z26" s="233">
        <f>V26/($D$2/43560)</f>
        <v>106.26053554565743</v>
      </c>
      <c r="AB26" s="230" t="s">
        <v>185</v>
      </c>
      <c r="AC26" s="234">
        <f>SUM(AC22:AC25)</f>
        <v>121068</v>
      </c>
      <c r="AD26" s="234">
        <f>SUM(AD22:AD25)</f>
        <v>140.77674418604653</v>
      </c>
      <c r="AE26" s="234">
        <f>SUM(AE22:AE25)</f>
        <v>72364</v>
      </c>
      <c r="AF26" s="234">
        <f>SUM(AF22:AF25)</f>
        <v>45</v>
      </c>
      <c r="AG26" s="235">
        <f>(AC26+AE26)/$D$2</f>
        <v>3.4540194993035964</v>
      </c>
      <c r="AH26" s="233">
        <f>AD26/D3</f>
        <v>109.50028528881444</v>
      </c>
    </row>
    <row r="27" spans="2:34" ht="15" x14ac:dyDescent="0.25">
      <c r="B27" s="213" t="s">
        <v>186</v>
      </c>
      <c r="C27" s="214"/>
      <c r="D27" s="214"/>
      <c r="F27" s="214">
        <f>F25/$C$11</f>
        <v>86.331601250000006</v>
      </c>
      <c r="G27" s="214"/>
      <c r="H27" s="33"/>
      <c r="I27" s="33"/>
      <c r="K27" s="213"/>
      <c r="L27" s="213"/>
      <c r="M27" s="236"/>
      <c r="N27" s="236"/>
      <c r="O27" s="236"/>
      <c r="P27" s="236"/>
      <c r="Q27" s="237"/>
      <c r="R27" s="237"/>
      <c r="T27" s="213"/>
      <c r="U27" s="236"/>
      <c r="V27" s="236"/>
      <c r="W27" s="236"/>
      <c r="X27" s="236"/>
      <c r="Y27" s="237"/>
      <c r="Z27" s="237"/>
      <c r="AB27" s="213"/>
      <c r="AC27" s="236"/>
      <c r="AD27" s="236"/>
      <c r="AE27" s="236"/>
      <c r="AF27" s="236"/>
      <c r="AG27" s="237"/>
      <c r="AH27" s="237"/>
    </row>
    <row r="28" spans="2:34" ht="15" x14ac:dyDescent="0.25">
      <c r="B28" s="213"/>
      <c r="C28" s="214"/>
      <c r="D28" s="214"/>
      <c r="F28" s="214"/>
      <c r="G28" s="214"/>
      <c r="H28" s="33"/>
      <c r="I28" s="33"/>
      <c r="K28" s="213" t="s">
        <v>186</v>
      </c>
      <c r="L28" s="213"/>
      <c r="M28" s="214"/>
      <c r="N28" s="214"/>
      <c r="O28" s="214">
        <f>O26/$C$12</f>
        <v>157.14364555555557</v>
      </c>
      <c r="P28" s="236"/>
      <c r="Q28" s="237"/>
      <c r="R28" s="237"/>
      <c r="T28" s="213" t="s">
        <v>186</v>
      </c>
      <c r="U28" s="214"/>
      <c r="V28" s="214"/>
      <c r="W28" s="214">
        <f>W26/$C$11</f>
        <v>90.454999999999998</v>
      </c>
      <c r="Y28" s="237"/>
      <c r="Z28" s="237"/>
      <c r="AB28" s="213" t="s">
        <v>186</v>
      </c>
      <c r="AC28" s="214"/>
      <c r="AD28" s="214"/>
      <c r="AE28" s="214">
        <f>AE26/$C$11</f>
        <v>180.91</v>
      </c>
      <c r="AG28" s="237"/>
      <c r="AH28" s="237"/>
    </row>
    <row r="29" spans="2:34" ht="15" x14ac:dyDescent="0.25">
      <c r="B29" s="213"/>
      <c r="C29" s="214"/>
      <c r="D29" s="214"/>
      <c r="F29" s="214"/>
      <c r="G29" s="214"/>
      <c r="H29" s="33"/>
      <c r="I29" s="33"/>
      <c r="K29" s="213"/>
      <c r="L29" s="213"/>
      <c r="M29" s="236"/>
      <c r="N29" s="236"/>
      <c r="O29" s="236"/>
      <c r="P29" s="236"/>
      <c r="Q29" s="237"/>
      <c r="R29" s="237"/>
      <c r="T29" s="213"/>
      <c r="U29" s="236"/>
      <c r="V29" s="236"/>
      <c r="W29" s="236"/>
      <c r="X29" s="236"/>
      <c r="Y29" s="237"/>
      <c r="Z29" s="237"/>
      <c r="AB29" s="213"/>
      <c r="AC29" s="236"/>
      <c r="AD29" s="236"/>
      <c r="AE29" s="236"/>
      <c r="AF29" s="236"/>
      <c r="AG29" s="237"/>
      <c r="AH29" s="237"/>
    </row>
    <row r="30" spans="2:34" x14ac:dyDescent="0.2">
      <c r="B30" s="243" t="s">
        <v>207</v>
      </c>
    </row>
    <row r="31" spans="2:34" x14ac:dyDescent="0.2">
      <c r="B31" t="s">
        <v>184</v>
      </c>
      <c r="C31" s="217">
        <v>0</v>
      </c>
      <c r="D31" s="217">
        <v>16000</v>
      </c>
      <c r="E31" s="223">
        <f>D31/$C$10</f>
        <v>18.604651162790699</v>
      </c>
      <c r="F31" s="217">
        <v>0</v>
      </c>
      <c r="G31" s="217">
        <v>10</v>
      </c>
      <c r="M31" s="217"/>
      <c r="N31" s="223"/>
      <c r="O31" s="217"/>
      <c r="T31" t="s">
        <v>187</v>
      </c>
      <c r="U31" s="217">
        <f>U24-U25</f>
        <v>24952</v>
      </c>
      <c r="V31" s="223">
        <f>U31/$C$10</f>
        <v>29.013953488372092</v>
      </c>
      <c r="W31" s="217">
        <v>0</v>
      </c>
      <c r="X31" t="s">
        <v>188</v>
      </c>
      <c r="AB31" t="s">
        <v>187</v>
      </c>
      <c r="AC31" s="217">
        <f>AC24-AC25</f>
        <v>0</v>
      </c>
      <c r="AD31" s="223">
        <f>AC31/$C$10</f>
        <v>0</v>
      </c>
      <c r="AE31" s="217">
        <v>0</v>
      </c>
      <c r="AF31" t="s">
        <v>188</v>
      </c>
    </row>
    <row r="32" spans="2:34" ht="15.75" x14ac:dyDescent="0.25">
      <c r="B32" s="230" t="s">
        <v>185</v>
      </c>
      <c r="C32" s="234">
        <f>SUM(C25,C31)</f>
        <v>21470</v>
      </c>
      <c r="D32" s="234">
        <f>SUM(D25,D31)</f>
        <v>97904</v>
      </c>
      <c r="E32" s="234">
        <f>SUM(E25,E31)</f>
        <v>113.84186046511628</v>
      </c>
      <c r="F32" s="234">
        <f>SUM(F25,F31)</f>
        <v>34532.640500000001</v>
      </c>
      <c r="G32" s="234">
        <f>G25+G31</f>
        <v>45</v>
      </c>
      <c r="H32" s="232">
        <f>SUM(C32,D32,F32)/$D$2</f>
        <v>2.7482347148316135</v>
      </c>
      <c r="I32" s="233">
        <f>E32/($D$2/43560)</f>
        <v>88.549541835299905</v>
      </c>
      <c r="K32" t="s">
        <v>189</v>
      </c>
      <c r="M32" s="217">
        <f>M24</f>
        <v>40952</v>
      </c>
      <c r="N32" s="223">
        <f>M32/$C$10</f>
        <v>47.618604651162791</v>
      </c>
      <c r="O32" s="217">
        <v>0</v>
      </c>
      <c r="P32">
        <v>10</v>
      </c>
      <c r="T32" t="s">
        <v>189</v>
      </c>
      <c r="U32" s="217">
        <f>U24</f>
        <v>40952</v>
      </c>
      <c r="V32" s="223">
        <f>U32/$C$10</f>
        <v>47.618604651162791</v>
      </c>
      <c r="W32" s="217">
        <v>0</v>
      </c>
      <c r="X32">
        <v>9</v>
      </c>
      <c r="AB32" t="s">
        <v>189</v>
      </c>
      <c r="AC32" s="217">
        <f>AC24</f>
        <v>40952</v>
      </c>
      <c r="AD32" s="223">
        <f>AC32/$C$10</f>
        <v>47.618604651162791</v>
      </c>
      <c r="AE32" s="217">
        <v>0</v>
      </c>
      <c r="AF32">
        <v>9</v>
      </c>
    </row>
    <row r="33" spans="2:34" ht="15.75" x14ac:dyDescent="0.25">
      <c r="B33" s="213"/>
      <c r="C33" s="236"/>
      <c r="D33" s="236"/>
      <c r="F33" s="236"/>
      <c r="G33" s="236"/>
      <c r="H33" s="237"/>
      <c r="K33" s="230" t="s">
        <v>190</v>
      </c>
      <c r="L33" s="234">
        <f>L26+L31+L32</f>
        <v>21470</v>
      </c>
      <c r="M33" s="234">
        <f>M26+M31+M32</f>
        <v>143560</v>
      </c>
      <c r="N33" s="234">
        <f>N26+N32</f>
        <v>166.93023255813955</v>
      </c>
      <c r="O33" s="234">
        <f t="shared" ref="O33" si="0">O26+O31+O32</f>
        <v>70714.640500000009</v>
      </c>
      <c r="P33" s="234">
        <f>P26+P32</f>
        <v>55</v>
      </c>
      <c r="Q33" s="235">
        <f>SUM(L33,M33,O33)/$D$2</f>
        <v>4.2095753812363848</v>
      </c>
      <c r="R33" s="233">
        <f>N33/D3</f>
        <v>129.84323649570655</v>
      </c>
      <c r="T33" s="230" t="s">
        <v>190</v>
      </c>
      <c r="U33" s="234">
        <f>U26+U31+U32</f>
        <v>183390</v>
      </c>
      <c r="V33" s="234">
        <f t="shared" ref="V33:W33" si="1">V26+V31+V32</f>
        <v>213.24418604651166</v>
      </c>
      <c r="W33" s="234">
        <f t="shared" si="1"/>
        <v>36182</v>
      </c>
      <c r="X33" s="234">
        <f>X26+X32</f>
        <v>54</v>
      </c>
      <c r="Y33" s="235">
        <f>SUM(U33,W33)/D2</f>
        <v>3.9207885432663119</v>
      </c>
      <c r="Z33" s="233">
        <f>V33/D3</f>
        <v>165.86758944655631</v>
      </c>
      <c r="AB33" s="230" t="s">
        <v>190</v>
      </c>
      <c r="AC33" s="234">
        <f>AC26+AC31+AC32</f>
        <v>162020</v>
      </c>
      <c r="AD33" s="234">
        <f>AD26+AD31+AD32</f>
        <v>188.39534883720933</v>
      </c>
      <c r="AE33" s="234">
        <f t="shared" ref="AE33" si="2">AE26+AE31+AE32</f>
        <v>72364</v>
      </c>
      <c r="AF33" s="234">
        <f>AF26+AF32</f>
        <v>54</v>
      </c>
      <c r="AG33" s="235">
        <f>SUM(AC33,AE33)/$D$2</f>
        <v>4.1852790971751013</v>
      </c>
      <c r="AH33" s="233">
        <f>AD33/D3</f>
        <v>146.53943422286414</v>
      </c>
    </row>
    <row r="34" spans="2:34" ht="15" x14ac:dyDescent="0.25">
      <c r="B34" s="213" t="s">
        <v>186</v>
      </c>
      <c r="C34" s="236"/>
      <c r="D34" s="236"/>
      <c r="F34" s="236">
        <f>F32/$C$11</f>
        <v>86.331601250000006</v>
      </c>
      <c r="G34" s="236"/>
      <c r="H34" s="237"/>
      <c r="K34" s="213"/>
      <c r="L34" s="213"/>
      <c r="M34" s="236"/>
      <c r="N34" s="236"/>
      <c r="O34" s="236"/>
      <c r="P34" s="236"/>
      <c r="Q34" s="237"/>
      <c r="R34" s="237"/>
      <c r="T34" s="213"/>
      <c r="U34" s="236"/>
      <c r="V34" s="236"/>
      <c r="W34" s="236"/>
      <c r="X34" s="236"/>
      <c r="Y34" s="237"/>
      <c r="Z34" s="237"/>
    </row>
    <row r="35" spans="2:34" ht="15" x14ac:dyDescent="0.25">
      <c r="B35" s="213"/>
      <c r="C35" s="236"/>
      <c r="D35" s="236"/>
      <c r="F35" s="236"/>
      <c r="G35" s="236"/>
      <c r="H35" s="237"/>
      <c r="K35" s="213" t="s">
        <v>186</v>
      </c>
      <c r="L35" s="213"/>
      <c r="M35" s="214"/>
      <c r="N35" s="214"/>
      <c r="O35" s="214">
        <f>O33/$C$12</f>
        <v>157.14364555555557</v>
      </c>
      <c r="P35" s="236"/>
      <c r="Q35" s="237"/>
      <c r="R35" s="237"/>
      <c r="T35" s="213" t="s">
        <v>186</v>
      </c>
      <c r="U35" s="214"/>
      <c r="V35" s="214"/>
      <c r="W35" s="214">
        <f>W33/$C$11</f>
        <v>90.454999999999998</v>
      </c>
      <c r="X35" s="236"/>
      <c r="Y35" s="237"/>
      <c r="Z35" s="237"/>
      <c r="AB35" s="213" t="s">
        <v>186</v>
      </c>
      <c r="AE35" s="216">
        <f>AE26/C12</f>
        <v>160.8088888888889</v>
      </c>
    </row>
    <row r="36" spans="2:34" ht="15" x14ac:dyDescent="0.25">
      <c r="B36" s="213"/>
      <c r="C36" s="236"/>
      <c r="D36" s="236"/>
      <c r="F36" s="236"/>
      <c r="G36" s="236"/>
      <c r="H36" s="237"/>
      <c r="K36" s="213"/>
      <c r="L36" s="213"/>
      <c r="M36" s="236"/>
      <c r="N36" s="236"/>
      <c r="O36" s="236"/>
      <c r="P36" s="236"/>
      <c r="Q36" s="237"/>
      <c r="R36" s="237"/>
      <c r="T36" s="213"/>
      <c r="U36" s="236"/>
      <c r="V36" s="236"/>
      <c r="W36" s="236"/>
      <c r="X36" s="236"/>
      <c r="Y36" s="237"/>
      <c r="Z36" s="237"/>
      <c r="AB36" s="213"/>
      <c r="AC36" s="236"/>
      <c r="AD36" s="236"/>
      <c r="AE36" s="236"/>
      <c r="AF36" s="236"/>
      <c r="AG36" s="237"/>
      <c r="AH36" s="237"/>
    </row>
    <row r="38" spans="2:34" ht="15" x14ac:dyDescent="0.25">
      <c r="B38" s="213" t="s">
        <v>191</v>
      </c>
      <c r="K38" s="213" t="s">
        <v>191</v>
      </c>
      <c r="L38" s="213"/>
      <c r="T38" s="213" t="s">
        <v>191</v>
      </c>
      <c r="AB38" s="213" t="s">
        <v>191</v>
      </c>
    </row>
    <row r="39" spans="2:34" ht="16.5" thickBot="1" x14ac:dyDescent="0.3">
      <c r="B39" s="229" t="s">
        <v>192</v>
      </c>
      <c r="C39" s="229"/>
      <c r="D39" s="229"/>
      <c r="E39" s="229"/>
      <c r="F39" s="229"/>
      <c r="G39" s="229"/>
      <c r="K39" s="229" t="s">
        <v>193</v>
      </c>
      <c r="L39" s="229"/>
      <c r="M39" s="229"/>
      <c r="N39" s="229"/>
      <c r="O39" s="229"/>
      <c r="T39" s="229" t="s">
        <v>194</v>
      </c>
      <c r="U39" s="229"/>
      <c r="V39" s="229"/>
      <c r="W39" s="229"/>
      <c r="X39" s="229"/>
      <c r="AB39" s="229" t="s">
        <v>195</v>
      </c>
      <c r="AC39" s="229"/>
      <c r="AD39" s="229"/>
      <c r="AE39" s="229"/>
      <c r="AF39" s="229"/>
      <c r="AG39" s="229"/>
    </row>
    <row r="40" spans="2:34" ht="15.75" thickTop="1" x14ac:dyDescent="0.25">
      <c r="B40" s="213" t="s">
        <v>151</v>
      </c>
      <c r="C40" s="213" t="s">
        <v>196</v>
      </c>
      <c r="D40" s="213" t="s">
        <v>152</v>
      </c>
      <c r="E40" s="213" t="s">
        <v>153</v>
      </c>
      <c r="F40" s="213" t="s">
        <v>197</v>
      </c>
      <c r="G40" s="213" t="s">
        <v>198</v>
      </c>
      <c r="I40" s="213"/>
      <c r="K40" s="213" t="s">
        <v>151</v>
      </c>
      <c r="L40" s="213" t="s">
        <v>196</v>
      </c>
      <c r="M40" s="213" t="s">
        <v>152</v>
      </c>
      <c r="N40" s="213" t="s">
        <v>153</v>
      </c>
      <c r="O40" s="213" t="s">
        <v>197</v>
      </c>
      <c r="P40" s="213" t="s">
        <v>198</v>
      </c>
      <c r="Q40" s="213" t="s">
        <v>199</v>
      </c>
      <c r="T40" s="213" t="s">
        <v>151</v>
      </c>
      <c r="U40" s="213" t="s">
        <v>196</v>
      </c>
      <c r="V40" s="213" t="s">
        <v>152</v>
      </c>
      <c r="W40" s="213" t="s">
        <v>153</v>
      </c>
      <c r="X40" s="213" t="s">
        <v>87</v>
      </c>
      <c r="AB40" s="213" t="s">
        <v>151</v>
      </c>
      <c r="AC40" s="213" t="s">
        <v>196</v>
      </c>
      <c r="AD40" s="213" t="s">
        <v>152</v>
      </c>
      <c r="AE40" s="213" t="s">
        <v>153</v>
      </c>
      <c r="AF40" s="213" t="s">
        <v>87</v>
      </c>
      <c r="AG40" s="213"/>
    </row>
    <row r="41" spans="2:34" x14ac:dyDescent="0.2">
      <c r="B41" t="s">
        <v>155</v>
      </c>
      <c r="C41" t="s">
        <v>188</v>
      </c>
      <c r="D41" s="221">
        <f>D25/C10*C14</f>
        <v>78.094511627906982</v>
      </c>
      <c r="E41">
        <v>1</v>
      </c>
      <c r="G41" s="222">
        <f>D41*E41</f>
        <v>78.094511627906982</v>
      </c>
      <c r="I41" s="222"/>
      <c r="K41" t="s">
        <v>155</v>
      </c>
      <c r="L41" t="s">
        <v>188</v>
      </c>
      <c r="M41" s="221">
        <f>N26*C14</f>
        <v>97.835534883720939</v>
      </c>
      <c r="N41">
        <v>1</v>
      </c>
      <c r="P41" s="222">
        <f>M41*N41</f>
        <v>97.835534883720939</v>
      </c>
      <c r="T41" t="s">
        <v>155</v>
      </c>
      <c r="U41" t="s">
        <v>188</v>
      </c>
      <c r="V41" s="221">
        <f>V26*C14</f>
        <v>112.02153488372096</v>
      </c>
      <c r="W41">
        <v>1</v>
      </c>
      <c r="X41" s="222">
        <f>V41*W41</f>
        <v>112.02153488372096</v>
      </c>
      <c r="AB41" t="s">
        <v>155</v>
      </c>
      <c r="AC41" t="s">
        <v>188</v>
      </c>
      <c r="AD41" s="221">
        <f>AD26*C14</f>
        <v>115.43693023255817</v>
      </c>
      <c r="AE41">
        <v>1</v>
      </c>
      <c r="AF41" s="222">
        <f>AD41*AE41</f>
        <v>115.43693023255817</v>
      </c>
    </row>
    <row r="42" spans="2:34" x14ac:dyDescent="0.2">
      <c r="B42" t="s">
        <v>158</v>
      </c>
      <c r="C42" t="s">
        <v>188</v>
      </c>
      <c r="D42" s="221">
        <f>D25/C10*C15</f>
        <v>17.142697674418603</v>
      </c>
      <c r="E42">
        <v>2</v>
      </c>
      <c r="G42" s="222">
        <f>D42*E42</f>
        <v>34.285395348837206</v>
      </c>
      <c r="K42" t="s">
        <v>158</v>
      </c>
      <c r="L42" t="s">
        <v>188</v>
      </c>
      <c r="M42" s="221">
        <f>N26*C15</f>
        <v>21.476093023255814</v>
      </c>
      <c r="N42">
        <v>2</v>
      </c>
      <c r="P42" s="222">
        <f>M42*N42</f>
        <v>42.952186046511628</v>
      </c>
      <c r="T42" t="s">
        <v>158</v>
      </c>
      <c r="U42" t="s">
        <v>188</v>
      </c>
      <c r="V42" s="221">
        <f>V26*C15</f>
        <v>24.590093023255818</v>
      </c>
      <c r="W42">
        <v>2</v>
      </c>
      <c r="X42" s="222">
        <f t="shared" ref="X42:X43" si="3">V42*W42</f>
        <v>49.180186046511636</v>
      </c>
      <c r="AB42" t="s">
        <v>158</v>
      </c>
      <c r="AC42" t="s">
        <v>188</v>
      </c>
      <c r="AD42" s="221">
        <f>AD26*C15</f>
        <v>25.339813953488374</v>
      </c>
      <c r="AE42">
        <v>2</v>
      </c>
      <c r="AF42" s="222">
        <f t="shared" ref="AF42:AF43" si="4">AD42*AE42</f>
        <v>50.679627906976748</v>
      </c>
    </row>
    <row r="43" spans="2:34" x14ac:dyDescent="0.2">
      <c r="B43" t="s">
        <v>159</v>
      </c>
      <c r="C43" t="s">
        <v>188</v>
      </c>
      <c r="D43" s="221"/>
      <c r="E43" s="211">
        <v>0.1</v>
      </c>
      <c r="G43" s="222">
        <f>SUM(G41:G42)*E43</f>
        <v>11.237990697674419</v>
      </c>
      <c r="K43" t="s">
        <v>159</v>
      </c>
      <c r="L43" t="s">
        <v>188</v>
      </c>
      <c r="M43" s="221">
        <f>SUM(M41:M42)</f>
        <v>119.31162790697675</v>
      </c>
      <c r="N43" s="211">
        <v>0.1</v>
      </c>
      <c r="P43" s="222">
        <f>M43*N43</f>
        <v>11.931162790697677</v>
      </c>
      <c r="T43" t="s">
        <v>159</v>
      </c>
      <c r="U43" t="s">
        <v>188</v>
      </c>
      <c r="V43" s="221">
        <f>SUM(V41:V42)</f>
        <v>136.61162790697676</v>
      </c>
      <c r="W43" s="211">
        <v>0.1</v>
      </c>
      <c r="X43" s="222">
        <f t="shared" si="3"/>
        <v>13.661162790697677</v>
      </c>
      <c r="AB43" t="s">
        <v>159</v>
      </c>
      <c r="AC43" t="s">
        <v>188</v>
      </c>
      <c r="AD43" s="221">
        <f>SUM(AD41:AD42)</f>
        <v>140.77674418604653</v>
      </c>
      <c r="AE43" s="211">
        <v>0.1</v>
      </c>
      <c r="AF43" s="222">
        <f t="shared" si="4"/>
        <v>14.077674418604653</v>
      </c>
    </row>
    <row r="44" spans="2:34" x14ac:dyDescent="0.2">
      <c r="C44" t="s">
        <v>188</v>
      </c>
      <c r="D44" s="27"/>
      <c r="E44" s="238">
        <f>1/120</f>
        <v>8.3333333333333332E-3</v>
      </c>
      <c r="F44" s="222"/>
      <c r="G44" s="222"/>
      <c r="K44" t="s">
        <v>200</v>
      </c>
      <c r="L44" t="s">
        <v>188</v>
      </c>
      <c r="M44" s="27"/>
      <c r="N44" s="238">
        <f>1/120</f>
        <v>8.3333333333333332E-3</v>
      </c>
      <c r="O44" s="222"/>
      <c r="T44" t="s">
        <v>200</v>
      </c>
      <c r="U44" t="s">
        <v>188</v>
      </c>
      <c r="V44" s="27"/>
      <c r="W44" s="238">
        <f>1/120</f>
        <v>8.3333333333333332E-3</v>
      </c>
      <c r="X44" s="222"/>
      <c r="AB44" t="s">
        <v>200</v>
      </c>
      <c r="AC44" t="s">
        <v>188</v>
      </c>
      <c r="AD44" s="27"/>
      <c r="AE44" s="238">
        <f>1/120</f>
        <v>8.3333333333333332E-3</v>
      </c>
      <c r="AF44" s="222"/>
    </row>
    <row r="45" spans="2:34" x14ac:dyDescent="0.2">
      <c r="B45" t="s">
        <v>201</v>
      </c>
      <c r="C45" s="220">
        <f>C22</f>
        <v>21470</v>
      </c>
      <c r="D45" s="27"/>
      <c r="E45">
        <f>1/250</f>
        <v>4.0000000000000001E-3</v>
      </c>
      <c r="F45" s="222">
        <f>C45*E45</f>
        <v>85.88</v>
      </c>
      <c r="G45" s="222"/>
      <c r="K45" t="s">
        <v>202</v>
      </c>
      <c r="L45" s="220">
        <f>L26</f>
        <v>21470</v>
      </c>
      <c r="M45" s="27"/>
      <c r="N45">
        <f>1/250</f>
        <v>4.0000000000000001E-3</v>
      </c>
      <c r="O45" s="218">
        <f>L45*N45</f>
        <v>85.88</v>
      </c>
      <c r="T45" t="s">
        <v>202</v>
      </c>
      <c r="U45" t="s">
        <v>188</v>
      </c>
      <c r="V45" s="27"/>
      <c r="W45">
        <f>1/250</f>
        <v>4.0000000000000001E-3</v>
      </c>
      <c r="AB45" t="s">
        <v>202</v>
      </c>
      <c r="AC45" t="s">
        <v>188</v>
      </c>
      <c r="AD45" s="27"/>
      <c r="AE45">
        <f>1/250</f>
        <v>4.0000000000000001E-3</v>
      </c>
    </row>
    <row r="46" spans="2:34" ht="15" x14ac:dyDescent="0.25">
      <c r="B46" s="213" t="s">
        <v>199</v>
      </c>
      <c r="D46" s="224">
        <f>SUM(D41:D42)</f>
        <v>95.237209302325581</v>
      </c>
      <c r="F46" s="224">
        <f>SUM(F41:F45)</f>
        <v>85.88</v>
      </c>
      <c r="G46" s="224">
        <f>SUM(G41:G45)</f>
        <v>123.61789767441861</v>
      </c>
      <c r="I46" s="224"/>
      <c r="K46" s="213" t="s">
        <v>199</v>
      </c>
      <c r="M46" s="224"/>
      <c r="O46" s="224">
        <f>SUM(O41:O45)</f>
        <v>85.88</v>
      </c>
      <c r="P46" s="224">
        <f>SUM(P41:P45)</f>
        <v>152.71888372093025</v>
      </c>
      <c r="Q46" s="224"/>
      <c r="T46" s="213" t="s">
        <v>199</v>
      </c>
      <c r="V46" s="224"/>
      <c r="X46" s="224">
        <f>SUM(X41:X45)</f>
        <v>174.86288372093028</v>
      </c>
      <c r="Y46" s="224"/>
      <c r="AB46" s="213" t="s">
        <v>199</v>
      </c>
      <c r="AD46" s="224"/>
      <c r="AF46" s="224">
        <f>SUM(AF41:AF45)</f>
        <v>180.19423255813956</v>
      </c>
      <c r="AG46" s="224"/>
    </row>
    <row r="47" spans="2:34" ht="15" x14ac:dyDescent="0.25">
      <c r="B47" t="s">
        <v>203</v>
      </c>
      <c r="D47" s="222"/>
      <c r="E47" s="239">
        <v>0.35</v>
      </c>
      <c r="F47" s="222">
        <f>E47*F46</f>
        <v>30.057999999999996</v>
      </c>
      <c r="G47" s="222">
        <f>E47*G46</f>
        <v>43.266264186046513</v>
      </c>
      <c r="I47" s="224"/>
      <c r="K47" t="s">
        <v>203</v>
      </c>
      <c r="M47" s="222"/>
      <c r="N47" s="27">
        <v>0.35</v>
      </c>
      <c r="O47" s="222">
        <f>O46*$N$47</f>
        <v>30.057999999999996</v>
      </c>
      <c r="P47" s="222">
        <f>P46*$N$47</f>
        <v>53.451609302325586</v>
      </c>
      <c r="Q47" s="224"/>
      <c r="T47" t="s">
        <v>203</v>
      </c>
      <c r="V47" s="222"/>
      <c r="W47" s="27">
        <v>0.35</v>
      </c>
      <c r="X47" s="222">
        <f>X46*W47</f>
        <v>61.202009302325592</v>
      </c>
      <c r="Y47" s="224"/>
      <c r="AB47" t="s">
        <v>203</v>
      </c>
      <c r="AD47" s="222"/>
      <c r="AE47" s="27">
        <v>0.35</v>
      </c>
      <c r="AF47" s="222">
        <f>AF46*AE47</f>
        <v>63.067981395348845</v>
      </c>
      <c r="AG47" s="224"/>
    </row>
    <row r="48" spans="2:34" ht="15" x14ac:dyDescent="0.25">
      <c r="B48" s="213" t="s">
        <v>204</v>
      </c>
      <c r="D48" s="224"/>
      <c r="F48" s="224">
        <f>F46-F47</f>
        <v>55.822000000000003</v>
      </c>
      <c r="G48" s="224">
        <f>G46-G47</f>
        <v>80.351633488372102</v>
      </c>
      <c r="I48" s="224"/>
      <c r="K48" s="213" t="s">
        <v>204</v>
      </c>
      <c r="M48" s="224"/>
      <c r="N48" s="224"/>
      <c r="O48" s="240">
        <f>O46-O47</f>
        <v>55.822000000000003</v>
      </c>
      <c r="P48" s="240">
        <f>P46-P47</f>
        <v>99.267274418604671</v>
      </c>
      <c r="Q48" s="224">
        <f>SUM(O48:P48)</f>
        <v>155.08927441860467</v>
      </c>
      <c r="T48" s="213" t="s">
        <v>204</v>
      </c>
      <c r="V48" s="224"/>
      <c r="W48" s="224"/>
      <c r="X48" s="224">
        <f>X46-X47</f>
        <v>113.66087441860469</v>
      </c>
      <c r="Y48" s="224"/>
      <c r="AB48" s="213" t="s">
        <v>204</v>
      </c>
      <c r="AD48" s="224"/>
      <c r="AE48" s="224"/>
      <c r="AF48" s="224">
        <f>AF46-AF47</f>
        <v>117.12625116279071</v>
      </c>
      <c r="AG48" s="224"/>
    </row>
    <row r="50" spans="2:34" ht="16.5" thickBot="1" x14ac:dyDescent="0.3">
      <c r="B50" s="229" t="s">
        <v>193</v>
      </c>
      <c r="C50" s="229"/>
      <c r="D50" s="229"/>
      <c r="E50" s="229"/>
      <c r="F50" s="229"/>
      <c r="G50" s="229"/>
      <c r="K50" s="229" t="s">
        <v>205</v>
      </c>
      <c r="L50" s="229"/>
      <c r="M50" s="229"/>
      <c r="N50" s="229"/>
      <c r="O50" s="229"/>
      <c r="AB50" s="229" t="s">
        <v>205</v>
      </c>
      <c r="AC50" s="229"/>
      <c r="AD50" s="229"/>
      <c r="AE50" s="229"/>
      <c r="AF50" s="229"/>
    </row>
    <row r="51" spans="2:34" ht="15.75" thickTop="1" x14ac:dyDescent="0.25">
      <c r="B51" s="213" t="s">
        <v>151</v>
      </c>
      <c r="C51" s="213" t="s">
        <v>196</v>
      </c>
      <c r="D51" s="213" t="s">
        <v>152</v>
      </c>
      <c r="E51" s="213" t="s">
        <v>153</v>
      </c>
      <c r="F51" s="213" t="s">
        <v>154</v>
      </c>
      <c r="G51" s="213"/>
      <c r="I51" s="213"/>
      <c r="K51" s="213" t="s">
        <v>151</v>
      </c>
      <c r="L51" s="213" t="s">
        <v>196</v>
      </c>
      <c r="M51" s="213" t="s">
        <v>152</v>
      </c>
      <c r="N51" s="213" t="s">
        <v>153</v>
      </c>
      <c r="O51" s="213" t="s">
        <v>197</v>
      </c>
      <c r="P51" s="213" t="s">
        <v>198</v>
      </c>
      <c r="Q51" s="213" t="s">
        <v>199</v>
      </c>
      <c r="AB51" s="213" t="s">
        <v>151</v>
      </c>
      <c r="AC51" s="213" t="s">
        <v>196</v>
      </c>
      <c r="AD51" s="213" t="s">
        <v>152</v>
      </c>
      <c r="AE51" s="213" t="s">
        <v>153</v>
      </c>
      <c r="AF51" s="213" t="s">
        <v>197</v>
      </c>
      <c r="AG51" s="213" t="s">
        <v>198</v>
      </c>
      <c r="AH51" s="213"/>
    </row>
    <row r="52" spans="2:34" x14ac:dyDescent="0.2">
      <c r="B52" t="s">
        <v>155</v>
      </c>
      <c r="C52" t="s">
        <v>188</v>
      </c>
      <c r="D52" s="221">
        <f>D32/C10*C14</f>
        <v>93.350325581395353</v>
      </c>
      <c r="E52">
        <v>1</v>
      </c>
      <c r="F52" s="222">
        <f>D52*E52</f>
        <v>93.350325581395353</v>
      </c>
      <c r="G52" s="222"/>
      <c r="K52" t="s">
        <v>155</v>
      </c>
      <c r="L52" t="s">
        <v>188</v>
      </c>
      <c r="M52" s="221">
        <f>N33*C14</f>
        <v>136.88279069767444</v>
      </c>
      <c r="N52">
        <v>1</v>
      </c>
      <c r="P52" s="222">
        <f>M52*N52</f>
        <v>136.88279069767444</v>
      </c>
      <c r="V52" s="221"/>
      <c r="X52" s="222"/>
      <c r="AB52" t="s">
        <v>155</v>
      </c>
      <c r="AC52" t="s">
        <v>188</v>
      </c>
      <c r="AD52" s="221">
        <f>AD33*C14</f>
        <v>154.48418604651167</v>
      </c>
      <c r="AE52">
        <v>1</v>
      </c>
      <c r="AG52" s="222">
        <f>AD52*AE52</f>
        <v>154.48418604651167</v>
      </c>
    </row>
    <row r="53" spans="2:34" x14ac:dyDescent="0.2">
      <c r="B53" t="s">
        <v>158</v>
      </c>
      <c r="C53" t="s">
        <v>188</v>
      </c>
      <c r="D53" s="221">
        <f>D32/C10*C15</f>
        <v>20.491534883720931</v>
      </c>
      <c r="E53">
        <v>2</v>
      </c>
      <c r="F53" s="222">
        <f>D53*E53</f>
        <v>40.983069767441862</v>
      </c>
      <c r="G53" s="222"/>
      <c r="K53" t="s">
        <v>158</v>
      </c>
      <c r="L53" t="s">
        <v>188</v>
      </c>
      <c r="M53" s="221">
        <f>N33*C15</f>
        <v>30.047441860465117</v>
      </c>
      <c r="N53">
        <v>2</v>
      </c>
      <c r="P53" s="222">
        <f>M53*N53</f>
        <v>60.094883720930234</v>
      </c>
      <c r="V53" s="221"/>
      <c r="X53" s="222"/>
      <c r="AB53" t="s">
        <v>158</v>
      </c>
      <c r="AC53" t="s">
        <v>188</v>
      </c>
      <c r="AD53" s="221">
        <f>AD33*C15</f>
        <v>33.911162790697681</v>
      </c>
      <c r="AE53">
        <v>2</v>
      </c>
      <c r="AG53" s="222">
        <f>AD53*AE53</f>
        <v>67.822325581395361</v>
      </c>
    </row>
    <row r="54" spans="2:34" x14ac:dyDescent="0.2">
      <c r="B54" t="s">
        <v>159</v>
      </c>
      <c r="C54" t="s">
        <v>188</v>
      </c>
      <c r="D54" s="221"/>
      <c r="E54" s="211">
        <v>0.1</v>
      </c>
      <c r="F54" s="222">
        <f>SUM(F52:F53)*E54</f>
        <v>13.433339534883721</v>
      </c>
      <c r="G54" s="222"/>
      <c r="K54" t="s">
        <v>159</v>
      </c>
      <c r="L54" t="s">
        <v>188</v>
      </c>
      <c r="M54" s="221">
        <f>SUM(M52:M53)</f>
        <v>166.93023255813955</v>
      </c>
      <c r="N54" s="211">
        <v>0.1</v>
      </c>
      <c r="P54" s="222">
        <f>M54*N54</f>
        <v>16.693023255813955</v>
      </c>
      <c r="V54" s="221"/>
      <c r="W54" s="211"/>
      <c r="X54" s="222"/>
      <c r="AB54" t="s">
        <v>159</v>
      </c>
      <c r="AC54" t="s">
        <v>188</v>
      </c>
      <c r="AD54" s="221">
        <f>SUM(AD52:AD53)</f>
        <v>188.39534883720935</v>
      </c>
      <c r="AE54" s="211">
        <v>0.1</v>
      </c>
      <c r="AG54" s="222">
        <f>AD54*AE54</f>
        <v>18.839534883720937</v>
      </c>
    </row>
    <row r="55" spans="2:34" x14ac:dyDescent="0.2">
      <c r="B55" t="s">
        <v>200</v>
      </c>
      <c r="C55" t="s">
        <v>188</v>
      </c>
      <c r="D55" s="27"/>
      <c r="E55" s="238">
        <f>1/120</f>
        <v>8.3333333333333332E-3</v>
      </c>
      <c r="F55" s="222" t="s">
        <v>188</v>
      </c>
      <c r="G55" s="222"/>
      <c r="K55" t="s">
        <v>200</v>
      </c>
      <c r="L55" t="s">
        <v>188</v>
      </c>
      <c r="M55" s="27"/>
      <c r="N55" s="238">
        <f>1/120</f>
        <v>8.3333333333333332E-3</v>
      </c>
      <c r="O55" s="222"/>
      <c r="V55" s="27"/>
      <c r="W55" s="238"/>
      <c r="X55" s="222"/>
      <c r="AB55" t="s">
        <v>200</v>
      </c>
      <c r="AC55" t="s">
        <v>188</v>
      </c>
      <c r="AD55" s="27"/>
      <c r="AE55" s="238">
        <f>1/120</f>
        <v>8.3333333333333332E-3</v>
      </c>
      <c r="AF55" s="222"/>
    </row>
    <row r="56" spans="2:34" x14ac:dyDescent="0.2">
      <c r="B56" t="s">
        <v>202</v>
      </c>
      <c r="C56" s="220">
        <f>C32</f>
        <v>21470</v>
      </c>
      <c r="D56" s="27"/>
      <c r="E56">
        <f>1/250</f>
        <v>4.0000000000000001E-3</v>
      </c>
      <c r="F56" s="222">
        <f>E56*C32</f>
        <v>85.88</v>
      </c>
      <c r="G56" s="222"/>
      <c r="K56" t="s">
        <v>202</v>
      </c>
      <c r="L56" s="220">
        <f>L33</f>
        <v>21470</v>
      </c>
      <c r="M56" s="27"/>
      <c r="N56">
        <f>1/250</f>
        <v>4.0000000000000001E-3</v>
      </c>
      <c r="O56" s="218">
        <f>L56*N56</f>
        <v>85.88</v>
      </c>
      <c r="V56" s="27"/>
      <c r="X56" s="222"/>
      <c r="AB56" t="s">
        <v>202</v>
      </c>
      <c r="AC56" s="220">
        <v>0</v>
      </c>
      <c r="AD56" s="27"/>
      <c r="AE56">
        <f>1/250</f>
        <v>4.0000000000000001E-3</v>
      </c>
      <c r="AF56" s="218"/>
    </row>
    <row r="57" spans="2:34" ht="15" x14ac:dyDescent="0.25">
      <c r="B57" s="213" t="s">
        <v>199</v>
      </c>
      <c r="D57" s="224">
        <f>SUM(D52:D53)</f>
        <v>113.84186046511628</v>
      </c>
      <c r="F57" s="224">
        <f>SUM(F52:F56)</f>
        <v>233.64673488372091</v>
      </c>
      <c r="G57" s="224"/>
      <c r="I57" s="224"/>
      <c r="K57" s="213" t="s">
        <v>199</v>
      </c>
      <c r="M57" s="224"/>
      <c r="O57" s="224">
        <f>SUM(O52:O56)</f>
        <v>85.88</v>
      </c>
      <c r="P57" s="224">
        <f>SUM(P52:P56)</f>
        <v>213.67069767441862</v>
      </c>
      <c r="Q57" s="224"/>
      <c r="T57" s="213"/>
      <c r="V57" s="224"/>
      <c r="X57" s="224"/>
      <c r="Y57" s="224"/>
      <c r="AB57" s="213" t="s">
        <v>199</v>
      </c>
      <c r="AD57" s="224"/>
      <c r="AF57" s="224">
        <f>SUM(AF52:AF56)</f>
        <v>0</v>
      </c>
      <c r="AG57" s="224">
        <f>SUM(AG52:AG56)</f>
        <v>241.14604651162796</v>
      </c>
      <c r="AH57" s="224"/>
    </row>
    <row r="58" spans="2:34" ht="15" x14ac:dyDescent="0.25">
      <c r="B58" t="s">
        <v>203</v>
      </c>
      <c r="D58" s="222"/>
      <c r="E58" s="211">
        <v>0.35</v>
      </c>
      <c r="F58" s="222">
        <f>E58*F57</f>
        <v>81.776357209302319</v>
      </c>
      <c r="G58" s="222"/>
      <c r="I58" s="224"/>
      <c r="K58" t="s">
        <v>203</v>
      </c>
      <c r="M58" s="222"/>
      <c r="N58" s="211">
        <v>0.35</v>
      </c>
      <c r="O58" s="222">
        <f>$N$58*O57</f>
        <v>30.057999999999996</v>
      </c>
      <c r="P58" s="222">
        <f>$N$58*P57</f>
        <v>74.78474418604651</v>
      </c>
      <c r="Q58" s="224"/>
      <c r="V58" s="222"/>
      <c r="W58" s="27"/>
      <c r="X58" s="222"/>
      <c r="Y58" s="224"/>
      <c r="AB58" t="s">
        <v>203</v>
      </c>
      <c r="AD58" s="222"/>
      <c r="AE58" s="211">
        <v>0.35</v>
      </c>
      <c r="AF58" s="222">
        <f>$N$58*AF57</f>
        <v>0</v>
      </c>
      <c r="AG58" s="222">
        <f>$N$58*AG57</f>
        <v>84.401116279069782</v>
      </c>
      <c r="AH58" s="224"/>
    </row>
    <row r="59" spans="2:34" ht="15" x14ac:dyDescent="0.25">
      <c r="B59" s="213" t="s">
        <v>204</v>
      </c>
      <c r="D59" s="224"/>
      <c r="F59" s="224">
        <f>F57-F58</f>
        <v>151.87037767441859</v>
      </c>
      <c r="G59" s="224"/>
      <c r="K59" s="213" t="s">
        <v>204</v>
      </c>
      <c r="M59" s="224"/>
      <c r="O59" s="224">
        <f>O57-O58</f>
        <v>55.822000000000003</v>
      </c>
      <c r="P59" s="224">
        <f>P57-P58</f>
        <v>138.88595348837211</v>
      </c>
      <c r="Q59" s="224">
        <f>SUM(O59:P59)</f>
        <v>194.70795348837211</v>
      </c>
      <c r="T59" s="213"/>
      <c r="V59" s="224"/>
      <c r="W59" s="224"/>
      <c r="X59" s="224"/>
      <c r="AB59" s="213" t="s">
        <v>204</v>
      </c>
      <c r="AD59" s="224"/>
      <c r="AF59" s="224">
        <f>AF57-AF58</f>
        <v>0</v>
      </c>
      <c r="AG59" s="224">
        <f>AG57-AG58</f>
        <v>156.74493023255818</v>
      </c>
      <c r="AH59" s="224"/>
    </row>
    <row r="75" spans="11:11" x14ac:dyDescent="0.2">
      <c r="K75" s="241"/>
    </row>
  </sheetData>
  <sheetProtection algorithmName="SHA-512" hashValue="I5+/uzgtoebUIS/BgZ3/1i14Obe8+oyehAX2iUT+bZRb1boD7aX8saZo0iSBIOLkFyFuc5HMsoJO1iOTDEIz2A==" saltValue="cYR2q2OXxf7eQdm6Zg/RtQ==" spinCount="10000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K33"/>
  <sheetViews>
    <sheetView workbookViewId="0">
      <selection activeCell="B44" sqref="B44"/>
    </sheetView>
  </sheetViews>
  <sheetFormatPr defaultColWidth="9" defaultRowHeight="12" x14ac:dyDescent="0.2"/>
  <cols>
    <col min="1" max="1" width="3.5703125" customWidth="1"/>
  </cols>
  <sheetData>
    <row r="1" spans="1:11" x14ac:dyDescent="0.2">
      <c r="A1" s="9"/>
      <c r="B1" s="2" t="s">
        <v>2</v>
      </c>
      <c r="C1" s="4"/>
      <c r="D1" s="4"/>
      <c r="E1" s="4"/>
      <c r="F1" s="4"/>
      <c r="G1" s="4"/>
      <c r="H1" s="4"/>
      <c r="I1" s="4"/>
      <c r="J1" s="4"/>
      <c r="K1" s="10"/>
    </row>
    <row r="2" spans="1:11" x14ac:dyDescent="0.2">
      <c r="A2" s="12"/>
      <c r="B2" s="11"/>
      <c r="C2" s="8"/>
      <c r="D2" s="8"/>
      <c r="E2" s="8"/>
      <c r="F2" s="8"/>
      <c r="G2" s="8"/>
      <c r="K2" s="10"/>
    </row>
    <row r="3" spans="1:11" ht="13.5" customHeight="1" x14ac:dyDescent="0.2">
      <c r="B3" s="5" t="s">
        <v>18</v>
      </c>
      <c r="D3" s="3"/>
      <c r="E3" s="3"/>
      <c r="F3" s="3"/>
      <c r="G3" s="3"/>
      <c r="H3" s="3"/>
      <c r="K3" s="10"/>
    </row>
    <row r="4" spans="1:11" ht="36" customHeight="1" x14ac:dyDescent="0.2">
      <c r="B4" s="16"/>
      <c r="C4" s="754" t="s">
        <v>11</v>
      </c>
      <c r="D4" s="754"/>
      <c r="E4" s="754"/>
      <c r="F4" s="754"/>
      <c r="G4" s="754"/>
      <c r="H4" s="754"/>
      <c r="I4" s="754"/>
      <c r="J4" s="754"/>
      <c r="K4" s="10"/>
    </row>
    <row r="5" spans="1:11" x14ac:dyDescent="0.2">
      <c r="B5" s="2" t="s">
        <v>17</v>
      </c>
      <c r="C5" s="2">
        <v>1</v>
      </c>
      <c r="D5" s="2">
        <v>2</v>
      </c>
      <c r="E5" s="2">
        <v>3</v>
      </c>
      <c r="F5" s="2">
        <v>4</v>
      </c>
      <c r="G5" s="2">
        <v>5</v>
      </c>
      <c r="H5" s="2">
        <v>6</v>
      </c>
      <c r="I5" s="2">
        <v>7</v>
      </c>
      <c r="J5" s="2">
        <v>8</v>
      </c>
      <c r="K5" s="10"/>
    </row>
    <row r="6" spans="1:11" x14ac:dyDescent="0.2">
      <c r="B6" s="17" t="s">
        <v>12</v>
      </c>
      <c r="C6" s="18">
        <v>23450</v>
      </c>
      <c r="D6" s="19">
        <v>26800</v>
      </c>
      <c r="E6" s="19">
        <v>30150</v>
      </c>
      <c r="F6" s="19">
        <v>33500</v>
      </c>
      <c r="G6" s="19">
        <v>36200</v>
      </c>
      <c r="H6" s="19">
        <v>38900</v>
      </c>
      <c r="I6" s="19">
        <v>41550</v>
      </c>
      <c r="J6" s="19">
        <v>44250</v>
      </c>
      <c r="K6" s="10" t="s">
        <v>22</v>
      </c>
    </row>
    <row r="7" spans="1:11" x14ac:dyDescent="0.2">
      <c r="B7" s="17" t="s">
        <v>13</v>
      </c>
      <c r="C7" s="19">
        <v>39100</v>
      </c>
      <c r="D7" s="19">
        <v>44650</v>
      </c>
      <c r="E7" s="19">
        <v>50250</v>
      </c>
      <c r="F7" s="19">
        <v>55800</v>
      </c>
      <c r="G7" s="19">
        <v>60300</v>
      </c>
      <c r="H7" s="19">
        <v>64750</v>
      </c>
      <c r="I7" s="19">
        <v>69200</v>
      </c>
      <c r="J7" s="19">
        <v>73700</v>
      </c>
      <c r="K7" s="10"/>
    </row>
    <row r="8" spans="1:11" x14ac:dyDescent="0.2">
      <c r="B8" s="17" t="s">
        <v>14</v>
      </c>
      <c r="C8" s="19">
        <v>59400</v>
      </c>
      <c r="D8" s="19">
        <v>67900</v>
      </c>
      <c r="E8" s="19">
        <v>76400</v>
      </c>
      <c r="F8" s="19">
        <v>84900</v>
      </c>
      <c r="G8" s="19">
        <v>91650</v>
      </c>
      <c r="H8" s="19">
        <v>98450</v>
      </c>
      <c r="I8" s="19">
        <v>105250</v>
      </c>
      <c r="J8" s="19">
        <v>112050</v>
      </c>
      <c r="K8" s="10"/>
    </row>
    <row r="9" spans="1:11" x14ac:dyDescent="0.2">
      <c r="B9" s="17" t="s">
        <v>15</v>
      </c>
      <c r="C9" s="19">
        <v>74950</v>
      </c>
      <c r="D9" s="19">
        <v>85700</v>
      </c>
      <c r="E9" s="19">
        <v>96400</v>
      </c>
      <c r="F9" s="19">
        <v>107100</v>
      </c>
      <c r="G9" s="19">
        <v>115650</v>
      </c>
      <c r="H9" s="19">
        <v>124250</v>
      </c>
      <c r="I9" s="19">
        <v>132800</v>
      </c>
      <c r="J9" s="19">
        <v>141350</v>
      </c>
      <c r="K9" s="10"/>
    </row>
    <row r="10" spans="1:11" x14ac:dyDescent="0.2">
      <c r="B10" s="20" t="s">
        <v>16</v>
      </c>
      <c r="C10" s="21">
        <v>89950</v>
      </c>
      <c r="D10" s="21">
        <v>102800</v>
      </c>
      <c r="E10" s="21">
        <v>115650</v>
      </c>
      <c r="F10" s="21">
        <v>128500</v>
      </c>
      <c r="G10" s="21">
        <v>138800</v>
      </c>
      <c r="H10" s="21">
        <v>149050</v>
      </c>
      <c r="I10" s="21">
        <v>159350</v>
      </c>
      <c r="J10" s="21">
        <v>169600</v>
      </c>
      <c r="K10" s="10"/>
    </row>
    <row r="11" spans="1:11" x14ac:dyDescent="0.2">
      <c r="A11" s="6"/>
      <c r="B11" s="5"/>
      <c r="C11" s="3"/>
      <c r="D11" s="3"/>
      <c r="E11" s="3"/>
      <c r="F11" s="3"/>
      <c r="G11" s="3"/>
      <c r="K11" s="10"/>
    </row>
    <row r="12" spans="1:11" x14ac:dyDescent="0.2">
      <c r="A12" s="6"/>
      <c r="B12" s="5" t="s">
        <v>19</v>
      </c>
      <c r="C12" s="13">
        <v>0.33</v>
      </c>
      <c r="D12" s="3" t="s">
        <v>20</v>
      </c>
      <c r="E12" s="3"/>
      <c r="F12" s="3"/>
      <c r="G12" s="3"/>
      <c r="K12" s="10"/>
    </row>
    <row r="13" spans="1:11" x14ac:dyDescent="0.2">
      <c r="A13" s="6"/>
      <c r="B13" s="5"/>
      <c r="C13" s="13"/>
      <c r="D13" s="3"/>
      <c r="E13" s="3"/>
      <c r="F13" s="3"/>
      <c r="G13" s="3"/>
      <c r="K13" s="10"/>
    </row>
    <row r="14" spans="1:11" x14ac:dyDescent="0.2">
      <c r="A14" s="6"/>
      <c r="B14" s="2" t="s">
        <v>21</v>
      </c>
      <c r="C14" s="4"/>
      <c r="D14" s="4"/>
      <c r="E14" s="4"/>
      <c r="F14" s="4"/>
      <c r="G14" s="4"/>
      <c r="H14" s="4"/>
      <c r="I14" s="4"/>
      <c r="J14" s="4"/>
      <c r="K14" s="10"/>
    </row>
    <row r="15" spans="1:11" x14ac:dyDescent="0.2">
      <c r="A15" s="6"/>
      <c r="B15" s="17" t="s">
        <v>12</v>
      </c>
      <c r="C15" s="23">
        <f t="shared" ref="C15:J19" si="0">C6*$C$12/12</f>
        <v>644.875</v>
      </c>
      <c r="D15" s="23">
        <f t="shared" si="0"/>
        <v>737</v>
      </c>
      <c r="E15" s="23">
        <f t="shared" si="0"/>
        <v>829.125</v>
      </c>
      <c r="F15" s="23">
        <f t="shared" si="0"/>
        <v>921.25</v>
      </c>
      <c r="G15" s="23">
        <f t="shared" si="0"/>
        <v>995.5</v>
      </c>
      <c r="H15" s="23">
        <f t="shared" si="0"/>
        <v>1069.75</v>
      </c>
      <c r="I15" s="23">
        <f t="shared" si="0"/>
        <v>1142.625</v>
      </c>
      <c r="J15" s="23">
        <f t="shared" si="0"/>
        <v>1216.875</v>
      </c>
      <c r="K15" s="10"/>
    </row>
    <row r="16" spans="1:11" x14ac:dyDescent="0.2">
      <c r="A16" s="6"/>
      <c r="B16" s="17" t="s">
        <v>13</v>
      </c>
      <c r="C16" s="23">
        <f t="shared" si="0"/>
        <v>1075.25</v>
      </c>
      <c r="D16" s="23">
        <f t="shared" si="0"/>
        <v>1227.875</v>
      </c>
      <c r="E16" s="23">
        <f t="shared" si="0"/>
        <v>1381.875</v>
      </c>
      <c r="F16" s="23">
        <f t="shared" si="0"/>
        <v>1534.5</v>
      </c>
      <c r="G16" s="23">
        <f t="shared" si="0"/>
        <v>1658.25</v>
      </c>
      <c r="H16" s="23">
        <f t="shared" si="0"/>
        <v>1780.625</v>
      </c>
      <c r="I16" s="23">
        <f t="shared" si="0"/>
        <v>1903</v>
      </c>
      <c r="J16" s="23">
        <f t="shared" si="0"/>
        <v>2026.75</v>
      </c>
      <c r="K16" s="10"/>
    </row>
    <row r="17" spans="1:11" x14ac:dyDescent="0.2">
      <c r="A17" s="6"/>
      <c r="B17" s="17" t="s">
        <v>14</v>
      </c>
      <c r="C17" s="23">
        <f t="shared" si="0"/>
        <v>1633.5</v>
      </c>
      <c r="D17" s="23">
        <f t="shared" si="0"/>
        <v>1867.25</v>
      </c>
      <c r="E17" s="23">
        <f t="shared" si="0"/>
        <v>2101</v>
      </c>
      <c r="F17" s="23">
        <f t="shared" si="0"/>
        <v>2334.75</v>
      </c>
      <c r="G17" s="23">
        <f t="shared" si="0"/>
        <v>2520.375</v>
      </c>
      <c r="H17" s="23">
        <f t="shared" si="0"/>
        <v>2707.375</v>
      </c>
      <c r="I17" s="23">
        <f t="shared" si="0"/>
        <v>2894.375</v>
      </c>
      <c r="J17" s="23">
        <f t="shared" si="0"/>
        <v>3081.375</v>
      </c>
      <c r="K17" s="10"/>
    </row>
    <row r="18" spans="1:11" x14ac:dyDescent="0.2">
      <c r="A18" s="6"/>
      <c r="B18" s="17" t="s">
        <v>15</v>
      </c>
      <c r="C18" s="23">
        <f t="shared" si="0"/>
        <v>2061.125</v>
      </c>
      <c r="D18" s="23">
        <f t="shared" si="0"/>
        <v>2356.75</v>
      </c>
      <c r="E18" s="23">
        <f t="shared" si="0"/>
        <v>2651</v>
      </c>
      <c r="F18" s="23">
        <f t="shared" si="0"/>
        <v>2945.25</v>
      </c>
      <c r="G18" s="23">
        <f t="shared" si="0"/>
        <v>3180.375</v>
      </c>
      <c r="H18" s="23">
        <f t="shared" si="0"/>
        <v>3416.875</v>
      </c>
      <c r="I18" s="23">
        <f t="shared" si="0"/>
        <v>3652</v>
      </c>
      <c r="J18" s="23">
        <f t="shared" si="0"/>
        <v>3887.125</v>
      </c>
      <c r="K18" s="10"/>
    </row>
    <row r="19" spans="1:11" x14ac:dyDescent="0.2">
      <c r="A19" s="6"/>
      <c r="B19" s="20" t="s">
        <v>16</v>
      </c>
      <c r="C19" s="25">
        <f t="shared" si="0"/>
        <v>2473.625</v>
      </c>
      <c r="D19" s="25">
        <f t="shared" si="0"/>
        <v>2827</v>
      </c>
      <c r="E19" s="25">
        <f t="shared" si="0"/>
        <v>3180.375</v>
      </c>
      <c r="F19" s="25">
        <f t="shared" si="0"/>
        <v>3533.75</v>
      </c>
      <c r="G19" s="25">
        <f t="shared" si="0"/>
        <v>3817</v>
      </c>
      <c r="H19" s="25">
        <f t="shared" si="0"/>
        <v>4098.875</v>
      </c>
      <c r="I19" s="25">
        <f t="shared" si="0"/>
        <v>4382.125</v>
      </c>
      <c r="J19" s="25">
        <f t="shared" si="0"/>
        <v>4664</v>
      </c>
      <c r="K19" s="10"/>
    </row>
    <row r="20" spans="1:11" x14ac:dyDescent="0.2">
      <c r="A20" s="6"/>
      <c r="B20" s="22"/>
      <c r="C20" s="3"/>
      <c r="D20" s="3"/>
      <c r="E20" s="3"/>
      <c r="F20" s="3"/>
      <c r="G20" s="3"/>
      <c r="K20" s="10"/>
    </row>
    <row r="21" spans="1:11" x14ac:dyDescent="0.2">
      <c r="A21" s="6"/>
      <c r="B21" s="14" t="s">
        <v>10</v>
      </c>
      <c r="C21" s="3">
        <v>900</v>
      </c>
      <c r="D21" s="3">
        <v>900</v>
      </c>
      <c r="E21" s="3">
        <v>900</v>
      </c>
      <c r="F21" s="3">
        <v>900</v>
      </c>
      <c r="G21" s="3">
        <v>900</v>
      </c>
      <c r="H21" s="3">
        <v>900</v>
      </c>
      <c r="I21" s="3">
        <v>900</v>
      </c>
      <c r="J21" s="3">
        <v>900</v>
      </c>
      <c r="K21" s="10"/>
    </row>
    <row r="22" spans="1:11" x14ac:dyDescent="0.2">
      <c r="A22" s="6"/>
      <c r="B22" s="15"/>
      <c r="C22" s="3"/>
      <c r="D22" s="3"/>
      <c r="E22" s="3"/>
      <c r="F22" s="3"/>
      <c r="G22" s="3"/>
      <c r="H22" s="3"/>
      <c r="I22" s="3"/>
      <c r="J22" s="3"/>
      <c r="K22" s="10"/>
    </row>
    <row r="23" spans="1:11" x14ac:dyDescent="0.2">
      <c r="A23" s="6"/>
      <c r="B23" s="24" t="s">
        <v>9</v>
      </c>
      <c r="C23" s="4"/>
      <c r="D23" s="4"/>
      <c r="E23" s="4"/>
      <c r="F23" s="4"/>
      <c r="G23" s="4"/>
      <c r="H23" s="4"/>
      <c r="I23" s="4"/>
      <c r="J23" s="4"/>
      <c r="K23" s="10"/>
    </row>
    <row r="24" spans="1:11" x14ac:dyDescent="0.2">
      <c r="A24" s="6"/>
      <c r="B24" s="17" t="s">
        <v>12</v>
      </c>
      <c r="C24" s="23">
        <f t="shared" ref="C24:J28" si="1">C15/C$21</f>
        <v>0.71652777777777776</v>
      </c>
      <c r="D24" s="23">
        <f t="shared" si="1"/>
        <v>0.81888888888888889</v>
      </c>
      <c r="E24" s="23">
        <f t="shared" si="1"/>
        <v>0.92125000000000001</v>
      </c>
      <c r="F24" s="23">
        <f t="shared" si="1"/>
        <v>1.023611111111111</v>
      </c>
      <c r="G24" s="23">
        <f t="shared" si="1"/>
        <v>1.106111111111111</v>
      </c>
      <c r="H24" s="23">
        <f t="shared" si="1"/>
        <v>1.1886111111111111</v>
      </c>
      <c r="I24" s="23">
        <f t="shared" si="1"/>
        <v>1.2695833333333333</v>
      </c>
      <c r="J24" s="23">
        <f t="shared" si="1"/>
        <v>1.3520833333333333</v>
      </c>
      <c r="K24" s="10"/>
    </row>
    <row r="25" spans="1:11" x14ac:dyDescent="0.2">
      <c r="A25" s="6"/>
      <c r="B25" s="17" t="s">
        <v>13</v>
      </c>
      <c r="C25" s="23">
        <f t="shared" si="1"/>
        <v>1.1947222222222222</v>
      </c>
      <c r="D25" s="23">
        <f t="shared" si="1"/>
        <v>1.3643055555555557</v>
      </c>
      <c r="E25" s="23">
        <f t="shared" si="1"/>
        <v>1.5354166666666667</v>
      </c>
      <c r="F25" s="23">
        <f t="shared" si="1"/>
        <v>1.7050000000000001</v>
      </c>
      <c r="G25" s="23">
        <f t="shared" si="1"/>
        <v>1.8425</v>
      </c>
      <c r="H25" s="23">
        <f t="shared" si="1"/>
        <v>1.9784722222222222</v>
      </c>
      <c r="I25" s="23">
        <f t="shared" si="1"/>
        <v>2.1144444444444446</v>
      </c>
      <c r="J25" s="23">
        <f t="shared" si="1"/>
        <v>2.2519444444444443</v>
      </c>
      <c r="K25" s="10"/>
    </row>
    <row r="26" spans="1:11" x14ac:dyDescent="0.2">
      <c r="A26" s="6"/>
      <c r="B26" s="17" t="s">
        <v>14</v>
      </c>
      <c r="C26" s="23">
        <f t="shared" si="1"/>
        <v>1.8149999999999999</v>
      </c>
      <c r="D26" s="23">
        <f t="shared" si="1"/>
        <v>2.0747222222222224</v>
      </c>
      <c r="E26" s="23">
        <f t="shared" si="1"/>
        <v>2.3344444444444443</v>
      </c>
      <c r="F26" s="23">
        <f t="shared" si="1"/>
        <v>2.5941666666666667</v>
      </c>
      <c r="G26" s="23">
        <f t="shared" si="1"/>
        <v>2.8004166666666666</v>
      </c>
      <c r="H26" s="23">
        <f t="shared" si="1"/>
        <v>3.0081944444444444</v>
      </c>
      <c r="I26" s="23">
        <f t="shared" si="1"/>
        <v>3.2159722222222222</v>
      </c>
      <c r="J26" s="23">
        <f t="shared" si="1"/>
        <v>3.4237500000000001</v>
      </c>
      <c r="K26" s="10"/>
    </row>
    <row r="27" spans="1:11" x14ac:dyDescent="0.2">
      <c r="A27" s="6"/>
      <c r="B27" s="17" t="s">
        <v>15</v>
      </c>
      <c r="C27" s="23">
        <f t="shared" si="1"/>
        <v>2.2901388888888889</v>
      </c>
      <c r="D27" s="23">
        <f t="shared" si="1"/>
        <v>2.618611111111111</v>
      </c>
      <c r="E27" s="23">
        <f t="shared" si="1"/>
        <v>2.9455555555555555</v>
      </c>
      <c r="F27" s="23">
        <f t="shared" si="1"/>
        <v>3.2725</v>
      </c>
      <c r="G27" s="23">
        <f t="shared" si="1"/>
        <v>3.5337499999999999</v>
      </c>
      <c r="H27" s="23">
        <f t="shared" si="1"/>
        <v>3.7965277777777779</v>
      </c>
      <c r="I27" s="23">
        <f t="shared" si="1"/>
        <v>4.0577777777777779</v>
      </c>
      <c r="J27" s="23">
        <f t="shared" si="1"/>
        <v>4.3190277777777775</v>
      </c>
      <c r="K27" s="10"/>
    </row>
    <row r="28" spans="1:11" x14ac:dyDescent="0.2">
      <c r="A28" s="6"/>
      <c r="B28" s="20" t="s">
        <v>16</v>
      </c>
      <c r="C28" s="25">
        <f t="shared" si="1"/>
        <v>2.7484722222222224</v>
      </c>
      <c r="D28" s="25">
        <f t="shared" si="1"/>
        <v>3.141111111111111</v>
      </c>
      <c r="E28" s="25">
        <f t="shared" si="1"/>
        <v>3.5337499999999999</v>
      </c>
      <c r="F28" s="25">
        <f t="shared" si="1"/>
        <v>3.9263888888888889</v>
      </c>
      <c r="G28" s="25">
        <f t="shared" si="1"/>
        <v>4.2411111111111115</v>
      </c>
      <c r="H28" s="25">
        <f t="shared" si="1"/>
        <v>4.5543055555555556</v>
      </c>
      <c r="I28" s="25">
        <f t="shared" si="1"/>
        <v>4.8690277777777782</v>
      </c>
      <c r="J28" s="25">
        <f t="shared" si="1"/>
        <v>5.1822222222222223</v>
      </c>
      <c r="K28" s="10"/>
    </row>
    <row r="29" spans="1:11" x14ac:dyDescent="0.2">
      <c r="A29" s="6"/>
      <c r="B29" s="15"/>
      <c r="C29" s="3"/>
      <c r="D29" s="3"/>
      <c r="E29" s="3"/>
      <c r="F29" s="3"/>
      <c r="G29" s="3"/>
      <c r="K29" s="10"/>
    </row>
    <row r="30" spans="1:11" x14ac:dyDescent="0.2">
      <c r="A30" s="6"/>
      <c r="B30" t="s">
        <v>3</v>
      </c>
      <c r="C30" s="13">
        <v>0.05</v>
      </c>
      <c r="D30" s="3"/>
      <c r="E30" s="3"/>
      <c r="F30" s="3"/>
      <c r="G30" s="3"/>
      <c r="K30" s="10"/>
    </row>
    <row r="31" spans="1:11" x14ac:dyDescent="0.2">
      <c r="A31" s="6"/>
      <c r="B31" t="s">
        <v>4</v>
      </c>
      <c r="C31" s="13">
        <v>0.2</v>
      </c>
      <c r="D31" s="3"/>
      <c r="E31" s="3"/>
      <c r="F31" s="3"/>
      <c r="G31" s="3"/>
      <c r="K31" s="10" t="s">
        <v>23</v>
      </c>
    </row>
    <row r="32" spans="1:11" x14ac:dyDescent="0.2">
      <c r="A32" s="6"/>
      <c r="B32" t="s">
        <v>5</v>
      </c>
      <c r="C32" s="29">
        <v>4.7500000000000001E-2</v>
      </c>
      <c r="D32" s="3"/>
      <c r="E32" s="3"/>
      <c r="F32" s="3"/>
      <c r="G32" s="3"/>
      <c r="K32" s="10" t="s">
        <v>46</v>
      </c>
    </row>
    <row r="33" ht="11.25" customHeight="1" x14ac:dyDescent="0.2"/>
  </sheetData>
  <sheetProtection algorithmName="SHA-512" hashValue="BLuW70GHXaMbD4QFPisyoHLKWxsTv74l2E0Ty46oUVk9/aRuDeaCPJ70OTi18Cvknqrkd1jbTnxL7IO0OryaHQ==" saltValue="3Wip3KxEUNh2gqF0HR5C4A==" spinCount="100000" sheet="1" objects="1" scenarios="1"/>
  <mergeCells count="1">
    <mergeCell ref="C4:J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2" tint="-9.9978637043366805E-2"/>
  </sheetPr>
  <dimension ref="B1:R84"/>
  <sheetViews>
    <sheetView workbookViewId="0">
      <selection activeCell="C29" sqref="C29"/>
    </sheetView>
  </sheetViews>
  <sheetFormatPr defaultColWidth="10.5703125" defaultRowHeight="15" x14ac:dyDescent="0.25"/>
  <cols>
    <col min="1" max="1" width="6" style="351" customWidth="1"/>
    <col min="2" max="2" width="23.42578125" style="351" customWidth="1"/>
    <col min="3" max="3" width="15.140625" style="351" customWidth="1"/>
    <col min="4" max="4" width="13.5703125" style="351" customWidth="1"/>
    <col min="5" max="5" width="12.85546875" style="351" customWidth="1"/>
    <col min="6" max="6" width="15.42578125" style="351" customWidth="1"/>
    <col min="7" max="7" width="12.42578125" style="351" customWidth="1"/>
    <col min="8" max="8" width="10.5703125" style="351" customWidth="1"/>
    <col min="9" max="9" width="9.85546875" style="351" bestFit="1" customWidth="1"/>
    <col min="10" max="10" width="3.85546875" style="351" customWidth="1"/>
    <col min="11" max="11" width="25" style="351" customWidth="1"/>
    <col min="12" max="12" width="14.140625" style="351" customWidth="1"/>
    <col min="13" max="17" width="10.5703125" style="351"/>
    <col min="18" max="18" width="10.42578125" style="351" customWidth="1"/>
    <col min="19" max="16384" width="10.5703125" style="351"/>
  </cols>
  <sheetData>
    <row r="1" spans="2:14" x14ac:dyDescent="0.25">
      <c r="B1" s="351" t="s">
        <v>451</v>
      </c>
    </row>
    <row r="2" spans="2:14" ht="28.5" x14ac:dyDescent="0.45">
      <c r="B2" s="387" t="s">
        <v>450</v>
      </c>
    </row>
    <row r="3" spans="2:14" ht="15.75" x14ac:dyDescent="0.25">
      <c r="B3" s="386" t="s">
        <v>449</v>
      </c>
    </row>
    <row r="4" spans="2:14" x14ac:dyDescent="0.25">
      <c r="B4" s="385">
        <v>44129</v>
      </c>
    </row>
    <row r="6" spans="2:14" x14ac:dyDescent="0.25">
      <c r="B6" s="354" t="s">
        <v>146</v>
      </c>
      <c r="C6" s="354"/>
      <c r="D6" s="353">
        <v>7009</v>
      </c>
      <c r="E6" s="353"/>
      <c r="K6" s="384"/>
      <c r="L6" s="383"/>
    </row>
    <row r="7" spans="2:14" x14ac:dyDescent="0.25">
      <c r="B7" s="351" t="s">
        <v>148</v>
      </c>
      <c r="C7" s="355">
        <v>43560</v>
      </c>
      <c r="D7" s="382">
        <f>D6/C7</f>
        <v>0.16090449954086317</v>
      </c>
      <c r="E7" s="381" t="s">
        <v>149</v>
      </c>
      <c r="K7" s="353"/>
      <c r="L7" s="382"/>
      <c r="N7" s="354"/>
    </row>
    <row r="8" spans="2:14" x14ac:dyDescent="0.25">
      <c r="B8" s="351" t="s">
        <v>1</v>
      </c>
      <c r="C8" s="351">
        <v>1.75</v>
      </c>
      <c r="D8" s="356">
        <f>D6*C8</f>
        <v>12265.75</v>
      </c>
      <c r="E8" s="381" t="s">
        <v>150</v>
      </c>
      <c r="K8" s="354"/>
      <c r="L8" s="354"/>
      <c r="M8" s="354"/>
      <c r="N8" s="354"/>
    </row>
    <row r="9" spans="2:14" x14ac:dyDescent="0.25">
      <c r="B9" s="351" t="s">
        <v>1</v>
      </c>
      <c r="C9" s="351">
        <v>2.75</v>
      </c>
      <c r="D9" s="356">
        <f>C9*D6</f>
        <v>19274.75</v>
      </c>
      <c r="E9" s="381" t="s">
        <v>150</v>
      </c>
      <c r="L9" s="365"/>
      <c r="N9" s="361"/>
    </row>
    <row r="10" spans="2:14" x14ac:dyDescent="0.25">
      <c r="B10" s="351" t="s">
        <v>156</v>
      </c>
      <c r="C10" s="351">
        <v>55</v>
      </c>
      <c r="D10" s="356">
        <f>C10*D7</f>
        <v>8.849747474747474</v>
      </c>
      <c r="E10" s="381" t="s">
        <v>157</v>
      </c>
      <c r="L10" s="365"/>
      <c r="N10" s="361"/>
    </row>
    <row r="11" spans="2:14" x14ac:dyDescent="0.25">
      <c r="L11" s="365"/>
      <c r="M11" s="362"/>
      <c r="N11" s="374"/>
    </row>
    <row r="12" spans="2:14" x14ac:dyDescent="0.25">
      <c r="K12" s="354"/>
      <c r="M12" s="354"/>
      <c r="N12" s="359"/>
    </row>
    <row r="13" spans="2:14" x14ac:dyDescent="0.25">
      <c r="B13" s="354" t="s">
        <v>160</v>
      </c>
      <c r="C13" s="354"/>
    </row>
    <row r="14" spans="2:14" x14ac:dyDescent="0.25">
      <c r="B14" s="351" t="s">
        <v>161</v>
      </c>
      <c r="C14" s="355">
        <v>860</v>
      </c>
      <c r="D14" s="381" t="s">
        <v>162</v>
      </c>
      <c r="E14" s="381" t="s">
        <v>163</v>
      </c>
    </row>
    <row r="15" spans="2:14" x14ac:dyDescent="0.25">
      <c r="B15" s="351" t="s">
        <v>164</v>
      </c>
      <c r="C15" s="351">
        <v>400</v>
      </c>
      <c r="D15" s="381" t="s">
        <v>165</v>
      </c>
      <c r="E15" s="381" t="s">
        <v>163</v>
      </c>
    </row>
    <row r="16" spans="2:14" x14ac:dyDescent="0.25">
      <c r="D16" s="381"/>
      <c r="E16" s="381"/>
    </row>
    <row r="17" spans="2:18" x14ac:dyDescent="0.25">
      <c r="B17" s="351" t="s">
        <v>167</v>
      </c>
      <c r="D17" s="381"/>
      <c r="E17" s="381"/>
    </row>
    <row r="18" spans="2:18" x14ac:dyDescent="0.25">
      <c r="B18" s="380" t="s">
        <v>168</v>
      </c>
      <c r="C18" s="362">
        <f>33%+49%</f>
        <v>0.82000000000000006</v>
      </c>
      <c r="D18" s="381" t="s">
        <v>169</v>
      </c>
      <c r="E18" s="381"/>
    </row>
    <row r="19" spans="2:18" x14ac:dyDescent="0.25">
      <c r="B19" s="380" t="s">
        <v>170</v>
      </c>
      <c r="C19" s="362">
        <f>16%+2%</f>
        <v>0.18</v>
      </c>
      <c r="D19" s="381" t="s">
        <v>169</v>
      </c>
      <c r="E19" s="381"/>
    </row>
    <row r="20" spans="2:18" x14ac:dyDescent="0.25">
      <c r="B20" s="380"/>
      <c r="C20" s="362">
        <f>SUM(C18:C19)</f>
        <v>1</v>
      </c>
      <c r="D20" s="381"/>
      <c r="E20" s="381"/>
    </row>
    <row r="21" spans="2:18" x14ac:dyDescent="0.25">
      <c r="B21" s="380"/>
      <c r="C21" s="362"/>
    </row>
    <row r="23" spans="2:18" x14ac:dyDescent="0.25">
      <c r="B23" s="379" t="s">
        <v>142</v>
      </c>
      <c r="C23" s="379" t="s">
        <v>171</v>
      </c>
      <c r="D23" s="379"/>
      <c r="E23" s="379"/>
      <c r="F23" s="379"/>
      <c r="G23" s="379"/>
      <c r="H23" s="379"/>
      <c r="I23" s="379"/>
      <c r="K23" s="379" t="s">
        <v>142</v>
      </c>
      <c r="L23" s="379" t="s">
        <v>173</v>
      </c>
      <c r="M23" s="379"/>
      <c r="N23" s="379"/>
      <c r="O23" s="379"/>
      <c r="P23" s="379"/>
      <c r="Q23" s="379"/>
      <c r="R23" s="379"/>
    </row>
    <row r="24" spans="2:18" x14ac:dyDescent="0.25">
      <c r="B24" s="378" t="s">
        <v>175</v>
      </c>
      <c r="K24" s="378" t="s">
        <v>175</v>
      </c>
    </row>
    <row r="25" spans="2:18" ht="15.75" thickBot="1" x14ac:dyDescent="0.3">
      <c r="B25" s="357" t="s">
        <v>176</v>
      </c>
      <c r="C25" s="357" t="s">
        <v>177</v>
      </c>
      <c r="D25" s="357" t="s">
        <v>98</v>
      </c>
      <c r="E25" s="357" t="s">
        <v>152</v>
      </c>
      <c r="F25" s="357" t="s">
        <v>0</v>
      </c>
      <c r="G25" s="357" t="s">
        <v>178</v>
      </c>
      <c r="H25" s="357" t="s">
        <v>1</v>
      </c>
      <c r="I25" s="357" t="s">
        <v>179</v>
      </c>
      <c r="J25" s="354"/>
      <c r="K25" s="357" t="s">
        <v>176</v>
      </c>
      <c r="L25" s="357" t="s">
        <v>177</v>
      </c>
      <c r="M25" s="357" t="s">
        <v>98</v>
      </c>
      <c r="N25" s="357" t="s">
        <v>152</v>
      </c>
      <c r="O25" s="357" t="s">
        <v>0</v>
      </c>
      <c r="P25" s="357" t="s">
        <v>178</v>
      </c>
      <c r="Q25" s="357" t="s">
        <v>1</v>
      </c>
      <c r="R25" s="357" t="s">
        <v>179</v>
      </c>
    </row>
    <row r="26" spans="2:18" ht="15.75" thickTop="1" x14ac:dyDescent="0.25">
      <c r="B26" s="351" t="s">
        <v>180</v>
      </c>
      <c r="C26" s="355">
        <v>880</v>
      </c>
      <c r="D26" s="355">
        <v>914</v>
      </c>
      <c r="F26" s="355">
        <v>4112</v>
      </c>
      <c r="G26" s="355">
        <v>15</v>
      </c>
      <c r="H26" s="355"/>
      <c r="K26" s="351" t="s">
        <v>180</v>
      </c>
      <c r="L26" s="355"/>
      <c r="M26" s="355">
        <f>914+880</f>
        <v>1794</v>
      </c>
      <c r="N26" s="351">
        <v>1</v>
      </c>
      <c r="O26" s="355">
        <v>4112</v>
      </c>
      <c r="P26" s="355">
        <v>15</v>
      </c>
      <c r="Q26" s="355"/>
    </row>
    <row r="27" spans="2:18" x14ac:dyDescent="0.25">
      <c r="B27" s="351" t="s">
        <v>181</v>
      </c>
      <c r="C27" s="355">
        <v>0</v>
      </c>
      <c r="D27" s="355">
        <v>4021</v>
      </c>
      <c r="E27" s="374">
        <f>D27/$C$14</f>
        <v>4.6755813953488374</v>
      </c>
      <c r="F27" s="355">
        <v>0</v>
      </c>
      <c r="G27" s="355">
        <v>10</v>
      </c>
      <c r="H27" s="355"/>
      <c r="K27" s="351" t="s">
        <v>181</v>
      </c>
      <c r="L27" s="355">
        <v>0</v>
      </c>
      <c r="M27" s="355">
        <v>4021</v>
      </c>
      <c r="N27" s="374">
        <f>M27/$C$14</f>
        <v>4.6755813953488374</v>
      </c>
      <c r="O27" s="355">
        <v>0</v>
      </c>
      <c r="P27" s="355">
        <v>10</v>
      </c>
      <c r="Q27" s="355"/>
    </row>
    <row r="28" spans="2:18" x14ac:dyDescent="0.25">
      <c r="B28" s="351" t="s">
        <v>182</v>
      </c>
      <c r="C28" s="355">
        <v>0</v>
      </c>
      <c r="D28" s="355">
        <v>4021</v>
      </c>
      <c r="E28" s="374">
        <f>D28/$C$14</f>
        <v>4.6755813953488374</v>
      </c>
      <c r="F28" s="355">
        <v>0</v>
      </c>
      <c r="G28" s="355">
        <v>10</v>
      </c>
      <c r="H28" s="355"/>
      <c r="K28" s="351" t="s">
        <v>182</v>
      </c>
      <c r="L28" s="355">
        <v>0</v>
      </c>
      <c r="M28" s="355">
        <v>4021</v>
      </c>
      <c r="N28" s="374">
        <f>M28/$C$14</f>
        <v>4.6755813953488374</v>
      </c>
      <c r="O28" s="355">
        <v>0</v>
      </c>
      <c r="P28" s="355">
        <v>10</v>
      </c>
      <c r="Q28" s="355"/>
    </row>
    <row r="29" spans="2:18" x14ac:dyDescent="0.25">
      <c r="B29" s="373" t="s">
        <v>183</v>
      </c>
      <c r="C29" s="377">
        <f>SUM(C26:C28)</f>
        <v>880</v>
      </c>
      <c r="D29" s="377">
        <f>SUM(D26:D28)</f>
        <v>8956</v>
      </c>
      <c r="E29" s="377">
        <f>SUM(E26:E28)</f>
        <v>9.3511627906976749</v>
      </c>
      <c r="F29" s="377">
        <f>SUM(F26:F28)</f>
        <v>4112</v>
      </c>
      <c r="G29" s="377">
        <f>SUM(G26:G28)</f>
        <v>35</v>
      </c>
      <c r="H29" s="375">
        <f>SUM(C29,D29,F29)/$D$6</f>
        <v>1.9900128406334712</v>
      </c>
      <c r="I29" s="370">
        <f>E29/($D$6/43560)</f>
        <v>58.116229299870277</v>
      </c>
      <c r="K29" s="373" t="s">
        <v>183</v>
      </c>
      <c r="L29" s="377">
        <f>SUM(L26:L28)</f>
        <v>0</v>
      </c>
      <c r="M29" s="377">
        <f>SUM(M26:M28)</f>
        <v>9836</v>
      </c>
      <c r="N29" s="377">
        <f>SUM(N26:N28)</f>
        <v>10.351162790697675</v>
      </c>
      <c r="O29" s="377">
        <f>SUM(O26:O28)</f>
        <v>4112</v>
      </c>
      <c r="P29" s="377">
        <f>SUM(P26:P28)</f>
        <v>35</v>
      </c>
      <c r="Q29" s="375">
        <f>SUM(L29,M29,O29)/$D$6</f>
        <v>1.9900128406334712</v>
      </c>
      <c r="R29" s="370">
        <f>N29/($D$6/43560)</f>
        <v>64.331095899955884</v>
      </c>
    </row>
    <row r="30" spans="2:18" x14ac:dyDescent="0.25">
      <c r="B30" s="354"/>
      <c r="C30" s="353"/>
      <c r="D30" s="353"/>
      <c r="F30" s="353"/>
      <c r="G30" s="353"/>
      <c r="H30" s="376"/>
      <c r="I30" s="376"/>
      <c r="K30" s="354"/>
      <c r="L30" s="353"/>
      <c r="M30" s="353"/>
      <c r="O30" s="353"/>
      <c r="P30" s="353"/>
      <c r="Q30" s="376"/>
      <c r="R30" s="376"/>
    </row>
    <row r="31" spans="2:18" x14ac:dyDescent="0.25">
      <c r="B31" s="351" t="s">
        <v>184</v>
      </c>
      <c r="C31" s="355">
        <v>0</v>
      </c>
      <c r="D31" s="355">
        <v>4021</v>
      </c>
      <c r="E31" s="374">
        <f>D31/$C$14</f>
        <v>4.6755813953488374</v>
      </c>
      <c r="F31" s="355">
        <v>0</v>
      </c>
      <c r="G31" s="355">
        <v>10</v>
      </c>
      <c r="K31" s="351" t="s">
        <v>184</v>
      </c>
      <c r="L31" s="355">
        <v>0</v>
      </c>
      <c r="M31" s="355">
        <v>4021</v>
      </c>
      <c r="N31" s="374">
        <f>M31/$C$14</f>
        <v>4.6755813953488374</v>
      </c>
      <c r="O31" s="355">
        <v>0</v>
      </c>
      <c r="P31" s="355">
        <v>10</v>
      </c>
    </row>
    <row r="32" spans="2:18" x14ac:dyDescent="0.25">
      <c r="B32" s="373" t="s">
        <v>185</v>
      </c>
      <c r="C32" s="372">
        <f>SUM(C29,C31)</f>
        <v>880</v>
      </c>
      <c r="D32" s="372">
        <f>SUM(D29,D31)</f>
        <v>12977</v>
      </c>
      <c r="E32" s="372">
        <f>SUM(E29,E31)</f>
        <v>14.026744186046512</v>
      </c>
      <c r="F32" s="372">
        <f>SUM(F29,F31)</f>
        <v>4112</v>
      </c>
      <c r="G32" s="372">
        <f>G29+G31</f>
        <v>45</v>
      </c>
      <c r="H32" s="375">
        <f>SUM(C32,D32,F32)/$D$6</f>
        <v>2.5637038093879299</v>
      </c>
      <c r="I32" s="370">
        <f>E32/($D$6/43560)</f>
        <v>87.174343949805404</v>
      </c>
      <c r="K32" s="373" t="s">
        <v>185</v>
      </c>
      <c r="L32" s="372">
        <f>SUM(L29,L31)</f>
        <v>0</v>
      </c>
      <c r="M32" s="372">
        <f>SUM(M29,M31)</f>
        <v>13857</v>
      </c>
      <c r="N32" s="372">
        <f>SUM(N29,N31)</f>
        <v>15.026744186046512</v>
      </c>
      <c r="O32" s="372">
        <f>SUM(O29,O31)</f>
        <v>4112</v>
      </c>
      <c r="P32" s="372">
        <f>P29+P31</f>
        <v>45</v>
      </c>
      <c r="Q32" s="375">
        <f>SUM(L32,M32,O32)/$D$6</f>
        <v>2.5637038093879299</v>
      </c>
      <c r="R32" s="370">
        <f>N32/($D$6/43560)</f>
        <v>93.389210549891018</v>
      </c>
    </row>
    <row r="33" spans="2:18" x14ac:dyDescent="0.25">
      <c r="B33" s="354"/>
      <c r="C33" s="369"/>
      <c r="D33" s="369"/>
      <c r="F33" s="369"/>
      <c r="G33" s="369"/>
      <c r="H33" s="368"/>
      <c r="K33" s="354"/>
      <c r="L33" s="369"/>
      <c r="M33" s="369"/>
      <c r="O33" s="369"/>
      <c r="P33" s="369"/>
      <c r="Q33" s="368"/>
    </row>
    <row r="34" spans="2:18" x14ac:dyDescent="0.25">
      <c r="B34" s="351" t="s">
        <v>189</v>
      </c>
      <c r="C34" s="355">
        <v>0</v>
      </c>
      <c r="D34" s="355">
        <v>4021</v>
      </c>
      <c r="E34" s="374">
        <f>D34/$C$14</f>
        <v>4.6755813953488374</v>
      </c>
      <c r="F34" s="355">
        <v>0</v>
      </c>
      <c r="G34" s="355">
        <v>10</v>
      </c>
      <c r="K34" s="351" t="s">
        <v>189</v>
      </c>
      <c r="L34" s="355">
        <v>0</v>
      </c>
      <c r="M34" s="355">
        <v>4021</v>
      </c>
      <c r="N34" s="374">
        <f>M34/$C$14</f>
        <v>4.6755813953488374</v>
      </c>
      <c r="O34" s="355">
        <v>0</v>
      </c>
      <c r="P34" s="355">
        <v>10</v>
      </c>
    </row>
    <row r="35" spans="2:18" x14ac:dyDescent="0.25">
      <c r="B35" s="373" t="s">
        <v>190</v>
      </c>
      <c r="C35" s="372">
        <f>C32+C34</f>
        <v>880</v>
      </c>
      <c r="D35" s="372">
        <f>D32+D34</f>
        <v>16998</v>
      </c>
      <c r="E35" s="372">
        <f>E32+E34</f>
        <v>18.70232558139535</v>
      </c>
      <c r="F35" s="372">
        <f>F32+F34</f>
        <v>4112</v>
      </c>
      <c r="G35" s="372">
        <f>G32+G34</f>
        <v>55</v>
      </c>
      <c r="H35" s="371">
        <f>SUM(C35,D35,F35)/$D$6</f>
        <v>3.1373947781423883</v>
      </c>
      <c r="I35" s="370">
        <f>E35/($D$6/43560)</f>
        <v>116.23245859974055</v>
      </c>
      <c r="K35" s="373" t="s">
        <v>190</v>
      </c>
      <c r="L35" s="372">
        <f>L32+L34</f>
        <v>0</v>
      </c>
      <c r="M35" s="372">
        <f>M32+M34</f>
        <v>17878</v>
      </c>
      <c r="N35" s="372">
        <f>N32+N34</f>
        <v>19.70232558139535</v>
      </c>
      <c r="O35" s="372">
        <f>O32+O34</f>
        <v>4112</v>
      </c>
      <c r="P35" s="372">
        <f>P32+P34</f>
        <v>55</v>
      </c>
      <c r="Q35" s="371">
        <f>SUM(L35,M35,O35)/$D$6</f>
        <v>3.1373947781423883</v>
      </c>
      <c r="R35" s="370">
        <f>N35/($D$6/43560)</f>
        <v>122.44732519982615</v>
      </c>
    </row>
    <row r="36" spans="2:18" x14ac:dyDescent="0.25">
      <c r="B36" s="354"/>
      <c r="C36" s="369"/>
      <c r="D36" s="369"/>
      <c r="F36" s="369"/>
      <c r="G36" s="369"/>
      <c r="H36" s="368"/>
      <c r="K36" s="354"/>
      <c r="L36" s="369"/>
      <c r="M36" s="369"/>
      <c r="O36" s="369"/>
      <c r="P36" s="369"/>
      <c r="Q36" s="368"/>
    </row>
    <row r="37" spans="2:18" x14ac:dyDescent="0.25">
      <c r="B37" s="354"/>
      <c r="C37" s="369"/>
      <c r="D37" s="369"/>
      <c r="F37" s="369"/>
      <c r="G37" s="369"/>
      <c r="H37" s="368"/>
      <c r="K37" s="354"/>
      <c r="L37" s="369"/>
      <c r="M37" s="369"/>
      <c r="O37" s="369"/>
      <c r="P37" s="369"/>
      <c r="Q37" s="368"/>
    </row>
    <row r="38" spans="2:18" x14ac:dyDescent="0.25">
      <c r="B38" s="354" t="s">
        <v>186</v>
      </c>
      <c r="C38" s="369"/>
      <c r="D38" s="369"/>
      <c r="F38" s="369">
        <f>F32/$C$15</f>
        <v>10.28</v>
      </c>
      <c r="G38" s="369"/>
      <c r="H38" s="368"/>
      <c r="K38" s="354" t="s">
        <v>186</v>
      </c>
      <c r="L38" s="369"/>
      <c r="M38" s="369"/>
      <c r="O38" s="369">
        <f>O32/$C$15</f>
        <v>10.28</v>
      </c>
      <c r="P38" s="369"/>
      <c r="Q38" s="368"/>
    </row>
    <row r="39" spans="2:18" x14ac:dyDescent="0.25">
      <c r="B39" s="354"/>
      <c r="C39" s="369"/>
      <c r="D39" s="369"/>
      <c r="F39" s="369"/>
      <c r="G39" s="369"/>
      <c r="H39" s="368"/>
      <c r="K39" s="354"/>
      <c r="L39" s="369"/>
      <c r="M39" s="369"/>
      <c r="O39" s="369"/>
      <c r="P39" s="369"/>
      <c r="Q39" s="368"/>
    </row>
    <row r="41" spans="2:18" x14ac:dyDescent="0.25">
      <c r="B41" s="354" t="s">
        <v>191</v>
      </c>
      <c r="K41" s="354" t="s">
        <v>191</v>
      </c>
    </row>
    <row r="42" spans="2:18" ht="15.75" thickBot="1" x14ac:dyDescent="0.3">
      <c r="B42" s="357" t="s">
        <v>192</v>
      </c>
      <c r="C42" s="357"/>
      <c r="D42" s="357"/>
      <c r="E42" s="357"/>
      <c r="F42" s="357"/>
      <c r="G42" s="357"/>
      <c r="H42" s="357"/>
      <c r="K42" s="357" t="s">
        <v>192</v>
      </c>
      <c r="L42" s="357"/>
      <c r="M42" s="357"/>
      <c r="N42" s="357"/>
      <c r="O42" s="357"/>
    </row>
    <row r="43" spans="2:18" ht="15.75" thickTop="1" x14ac:dyDescent="0.25">
      <c r="B43" s="354" t="s">
        <v>151</v>
      </c>
      <c r="C43" s="354" t="s">
        <v>196</v>
      </c>
      <c r="D43" s="354" t="s">
        <v>152</v>
      </c>
      <c r="E43" s="354" t="s">
        <v>153</v>
      </c>
      <c r="F43" s="354" t="s">
        <v>197</v>
      </c>
      <c r="G43" s="354" t="s">
        <v>198</v>
      </c>
      <c r="H43" s="354" t="s">
        <v>199</v>
      </c>
      <c r="I43" s="354"/>
      <c r="K43" s="354" t="s">
        <v>151</v>
      </c>
      <c r="L43" s="354" t="s">
        <v>196</v>
      </c>
      <c r="M43" s="354" t="s">
        <v>152</v>
      </c>
      <c r="N43" s="354" t="s">
        <v>153</v>
      </c>
      <c r="O43" s="354" t="s">
        <v>198</v>
      </c>
      <c r="R43" s="354"/>
    </row>
    <row r="44" spans="2:18" x14ac:dyDescent="0.25">
      <c r="C44" s="351" t="s">
        <v>188</v>
      </c>
      <c r="D44" s="365">
        <f>D29/$C$14*$C$18</f>
        <v>8.5394418604651161</v>
      </c>
      <c r="E44" s="351">
        <v>1</v>
      </c>
      <c r="F44" s="361"/>
      <c r="G44" s="361">
        <f>D44*E44</f>
        <v>8.5394418604651161</v>
      </c>
      <c r="I44" s="361"/>
      <c r="K44" s="351" t="s">
        <v>155</v>
      </c>
      <c r="L44" s="351" t="s">
        <v>188</v>
      </c>
      <c r="M44" s="365">
        <f>M29/$C$14*$C$18</f>
        <v>9.3785116279069776</v>
      </c>
      <c r="N44" s="351">
        <v>1</v>
      </c>
      <c r="O44" s="361">
        <f>M44*N44</f>
        <v>9.3785116279069776</v>
      </c>
      <c r="R44" s="361"/>
    </row>
    <row r="45" spans="2:18" x14ac:dyDescent="0.25">
      <c r="B45" s="351" t="s">
        <v>158</v>
      </c>
      <c r="C45" s="351" t="s">
        <v>188</v>
      </c>
      <c r="D45" s="365">
        <f>D29/$C$14*$C$19</f>
        <v>1.8745116279069765</v>
      </c>
      <c r="E45" s="351">
        <v>2</v>
      </c>
      <c r="F45" s="361"/>
      <c r="G45" s="361">
        <f>D45*E45</f>
        <v>3.7490232558139529</v>
      </c>
      <c r="K45" s="351" t="s">
        <v>158</v>
      </c>
      <c r="L45" s="351" t="s">
        <v>188</v>
      </c>
      <c r="M45" s="365">
        <f>M29/$C$14*$C$19</f>
        <v>2.0586976744186045</v>
      </c>
      <c r="N45" s="351">
        <v>2</v>
      </c>
      <c r="O45" s="361">
        <f>M45*N45</f>
        <v>4.117395348837209</v>
      </c>
    </row>
    <row r="46" spans="2:18" x14ac:dyDescent="0.25">
      <c r="B46" s="351" t="s">
        <v>159</v>
      </c>
      <c r="C46" s="351" t="s">
        <v>188</v>
      </c>
      <c r="D46" s="365">
        <f>SUM(D44:D45)</f>
        <v>10.413953488372092</v>
      </c>
      <c r="E46" s="362">
        <v>0.1</v>
      </c>
      <c r="F46" s="361"/>
      <c r="G46" s="361">
        <f>D46*E46</f>
        <v>1.0413953488372092</v>
      </c>
      <c r="K46" s="351" t="s">
        <v>159</v>
      </c>
      <c r="L46" s="351" t="s">
        <v>188</v>
      </c>
      <c r="M46" s="365">
        <f>SUM(M44:M45)</f>
        <v>11.437209302325583</v>
      </c>
      <c r="N46" s="362">
        <v>0.1</v>
      </c>
      <c r="O46" s="361">
        <f>M46*N46</f>
        <v>1.1437209302325584</v>
      </c>
    </row>
    <row r="47" spans="2:18" x14ac:dyDescent="0.25">
      <c r="B47" s="351" t="s">
        <v>200</v>
      </c>
      <c r="D47" s="363"/>
      <c r="E47" s="364">
        <f>1/120</f>
        <v>8.3333333333333332E-3</v>
      </c>
      <c r="F47" s="361"/>
      <c r="G47" s="361"/>
      <c r="K47" s="351" t="s">
        <v>200</v>
      </c>
      <c r="L47" s="351" t="s">
        <v>188</v>
      </c>
      <c r="M47" s="363"/>
      <c r="N47" s="364">
        <f>1/120</f>
        <v>8.3333333333333332E-3</v>
      </c>
      <c r="O47" s="361"/>
    </row>
    <row r="48" spans="2:18" x14ac:dyDescent="0.25">
      <c r="B48" s="351" t="s">
        <v>201</v>
      </c>
      <c r="C48" s="356">
        <f>C26</f>
        <v>880</v>
      </c>
      <c r="D48" s="363"/>
      <c r="E48" s="351">
        <f>1/250</f>
        <v>4.0000000000000001E-3</v>
      </c>
      <c r="F48" s="361">
        <f>C48*E48</f>
        <v>3.52</v>
      </c>
      <c r="G48" s="361"/>
      <c r="K48" s="351" t="s">
        <v>201</v>
      </c>
      <c r="L48" s="356">
        <f>L26</f>
        <v>0</v>
      </c>
      <c r="M48" s="363"/>
      <c r="N48" s="351">
        <f>1/250</f>
        <v>4.0000000000000001E-3</v>
      </c>
      <c r="O48" s="361"/>
    </row>
    <row r="49" spans="2:18" x14ac:dyDescent="0.25">
      <c r="B49" s="354" t="s">
        <v>199</v>
      </c>
      <c r="D49" s="359"/>
      <c r="F49" s="359">
        <f>SUM(F44:F48)</f>
        <v>3.52</v>
      </c>
      <c r="G49" s="359">
        <f>SUM(G44:G48)</f>
        <v>13.329860465116278</v>
      </c>
      <c r="I49" s="359"/>
      <c r="K49" s="354" t="s">
        <v>199</v>
      </c>
      <c r="M49" s="359"/>
      <c r="O49" s="359">
        <f>SUM(O44:O48)</f>
        <v>14.639627906976745</v>
      </c>
      <c r="R49" s="359"/>
    </row>
    <row r="50" spans="2:18" x14ac:dyDescent="0.25">
      <c r="B50" s="351" t="s">
        <v>203</v>
      </c>
      <c r="D50" s="361"/>
      <c r="E50" s="362">
        <v>0.35</v>
      </c>
      <c r="F50" s="361">
        <f>E50*F49</f>
        <v>1.232</v>
      </c>
      <c r="G50" s="361">
        <f>E50*G49</f>
        <v>4.6654511627906974</v>
      </c>
      <c r="I50" s="359"/>
      <c r="K50" s="351" t="s">
        <v>203</v>
      </c>
      <c r="M50" s="361"/>
      <c r="N50" s="362">
        <v>0.35</v>
      </c>
      <c r="O50" s="361">
        <f>N50*O49</f>
        <v>5.1238697674418603</v>
      </c>
      <c r="R50" s="359"/>
    </row>
    <row r="51" spans="2:18" x14ac:dyDescent="0.25">
      <c r="B51" s="354" t="s">
        <v>204</v>
      </c>
      <c r="D51" s="359"/>
      <c r="F51" s="359">
        <f>F49-F50</f>
        <v>2.2880000000000003</v>
      </c>
      <c r="G51" s="359">
        <f>G49-G50</f>
        <v>8.6644093023255806</v>
      </c>
      <c r="H51" s="367">
        <f>SUM(F51:G51)</f>
        <v>10.952409302325581</v>
      </c>
      <c r="I51" s="359"/>
      <c r="K51" s="354" t="s">
        <v>204</v>
      </c>
      <c r="M51" s="359"/>
      <c r="O51" s="366">
        <f>O49-O50</f>
        <v>9.5157581395348849</v>
      </c>
      <c r="R51" s="359"/>
    </row>
    <row r="53" spans="2:18" ht="15.75" thickBot="1" x14ac:dyDescent="0.3">
      <c r="B53" s="357" t="s">
        <v>193</v>
      </c>
      <c r="C53" s="357"/>
      <c r="D53" s="357"/>
      <c r="E53" s="357"/>
      <c r="F53" s="357"/>
      <c r="G53" s="357"/>
      <c r="H53" s="357"/>
      <c r="K53" s="357" t="s">
        <v>193</v>
      </c>
      <c r="L53" s="357"/>
      <c r="M53" s="357"/>
      <c r="N53" s="357"/>
      <c r="O53" s="357"/>
      <c r="P53" s="357"/>
    </row>
    <row r="54" spans="2:18" ht="15.75" thickTop="1" x14ac:dyDescent="0.25">
      <c r="B54" s="354" t="s">
        <v>151</v>
      </c>
      <c r="C54" s="354" t="s">
        <v>196</v>
      </c>
      <c r="D54" s="354" t="s">
        <v>152</v>
      </c>
      <c r="E54" s="354" t="s">
        <v>153</v>
      </c>
      <c r="F54" s="354" t="s">
        <v>197</v>
      </c>
      <c r="G54" s="354" t="s">
        <v>198</v>
      </c>
      <c r="H54" s="354" t="s">
        <v>199</v>
      </c>
      <c r="I54" s="354"/>
      <c r="K54" s="354" t="s">
        <v>151</v>
      </c>
      <c r="L54" s="354" t="s">
        <v>196</v>
      </c>
      <c r="M54" s="354" t="s">
        <v>152</v>
      </c>
      <c r="N54" s="354" t="s">
        <v>153</v>
      </c>
      <c r="O54" s="354" t="s">
        <v>198</v>
      </c>
      <c r="P54" s="354"/>
      <c r="R54" s="354"/>
    </row>
    <row r="55" spans="2:18" x14ac:dyDescent="0.25">
      <c r="B55" s="351" t="s">
        <v>155</v>
      </c>
      <c r="C55" s="351" t="s">
        <v>188</v>
      </c>
      <c r="D55" s="365">
        <f>D32/C14*C18</f>
        <v>12.373418604651164</v>
      </c>
      <c r="E55" s="351">
        <v>1</v>
      </c>
      <c r="F55" s="361"/>
      <c r="G55" s="361">
        <f>D55*E55</f>
        <v>12.373418604651164</v>
      </c>
      <c r="K55" s="351" t="s">
        <v>155</v>
      </c>
      <c r="L55" s="351" t="s">
        <v>188</v>
      </c>
      <c r="M55" s="365">
        <f>N32*$C$18</f>
        <v>12.321930232558142</v>
      </c>
      <c r="N55" s="351">
        <v>1</v>
      </c>
      <c r="O55" s="361">
        <f>M55*N55</f>
        <v>12.321930232558142</v>
      </c>
      <c r="P55" s="361"/>
    </row>
    <row r="56" spans="2:18" x14ac:dyDescent="0.25">
      <c r="B56" s="351" t="s">
        <v>158</v>
      </c>
      <c r="C56" s="351" t="s">
        <v>188</v>
      </c>
      <c r="D56" s="365">
        <f>D32/C14*C19</f>
        <v>2.7161162790697673</v>
      </c>
      <c r="E56" s="351">
        <v>2</v>
      </c>
      <c r="F56" s="361"/>
      <c r="G56" s="361">
        <f>D56*E56</f>
        <v>5.4322325581395345</v>
      </c>
      <c r="K56" s="351" t="s">
        <v>158</v>
      </c>
      <c r="L56" s="351" t="s">
        <v>188</v>
      </c>
      <c r="M56" s="365">
        <f>N32*$C$19</f>
        <v>2.7048139534883719</v>
      </c>
      <c r="N56" s="351">
        <v>2</v>
      </c>
      <c r="O56" s="361">
        <f>M56*N56</f>
        <v>5.4096279069767439</v>
      </c>
      <c r="P56" s="361"/>
    </row>
    <row r="57" spans="2:18" x14ac:dyDescent="0.25">
      <c r="B57" s="351" t="s">
        <v>159</v>
      </c>
      <c r="C57" s="351" t="s">
        <v>188</v>
      </c>
      <c r="D57" s="365"/>
      <c r="E57" s="362">
        <v>0.1</v>
      </c>
      <c r="F57" s="361"/>
      <c r="G57" s="361">
        <f>D57*E57</f>
        <v>0</v>
      </c>
      <c r="K57" s="351" t="s">
        <v>159</v>
      </c>
      <c r="L57" s="351" t="s">
        <v>188</v>
      </c>
      <c r="M57" s="365">
        <f>SUM(M55:M56)</f>
        <v>15.026744186046514</v>
      </c>
      <c r="N57" s="362">
        <v>0.1</v>
      </c>
      <c r="O57" s="361">
        <f>M57*N57</f>
        <v>1.5026744186046515</v>
      </c>
      <c r="P57" s="361"/>
    </row>
    <row r="58" spans="2:18" x14ac:dyDescent="0.25">
      <c r="B58" s="351" t="s">
        <v>200</v>
      </c>
      <c r="C58" s="351" t="s">
        <v>188</v>
      </c>
      <c r="D58" s="363"/>
      <c r="E58" s="364">
        <f>1/120</f>
        <v>8.3333333333333332E-3</v>
      </c>
      <c r="F58" s="361"/>
      <c r="G58" s="361"/>
      <c r="K58" s="351" t="s">
        <v>200</v>
      </c>
      <c r="L58" s="351" t="s">
        <v>188</v>
      </c>
      <c r="M58" s="363"/>
      <c r="N58" s="364">
        <f>1/120</f>
        <v>8.3333333333333332E-3</v>
      </c>
      <c r="O58" s="361" t="s">
        <v>188</v>
      </c>
      <c r="P58" s="361"/>
    </row>
    <row r="59" spans="2:18" x14ac:dyDescent="0.25">
      <c r="B59" s="351" t="s">
        <v>202</v>
      </c>
      <c r="C59" s="356">
        <f>C32</f>
        <v>880</v>
      </c>
      <c r="D59" s="363"/>
      <c r="E59" s="351">
        <f>1/250</f>
        <v>4.0000000000000001E-3</v>
      </c>
      <c r="F59" s="361">
        <f>C59*E59</f>
        <v>3.52</v>
      </c>
      <c r="G59" s="361"/>
      <c r="K59" s="351" t="s">
        <v>202</v>
      </c>
      <c r="L59" s="356">
        <f>L32</f>
        <v>0</v>
      </c>
      <c r="M59" s="363"/>
      <c r="N59" s="351">
        <f>1/250</f>
        <v>4.0000000000000001E-3</v>
      </c>
      <c r="O59" s="361">
        <f>N59*L32</f>
        <v>0</v>
      </c>
      <c r="P59" s="361"/>
    </row>
    <row r="60" spans="2:18" x14ac:dyDescent="0.25">
      <c r="B60" s="354" t="s">
        <v>199</v>
      </c>
      <c r="D60" s="359">
        <f>SUM(D55:D56)</f>
        <v>15.089534883720932</v>
      </c>
      <c r="F60" s="359">
        <f>SUM(F55:F59)</f>
        <v>3.52</v>
      </c>
      <c r="G60" s="359">
        <f>SUM(G55:G59)</f>
        <v>17.805651162790699</v>
      </c>
      <c r="I60" s="359"/>
      <c r="K60" s="354" t="s">
        <v>199</v>
      </c>
      <c r="M60" s="359">
        <f>SUM(M55:M56)</f>
        <v>15.026744186046514</v>
      </c>
      <c r="O60" s="359">
        <f>SUM(O55:O59)</f>
        <v>19.234232558139539</v>
      </c>
      <c r="P60" s="359"/>
      <c r="R60" s="359"/>
    </row>
    <row r="61" spans="2:18" x14ac:dyDescent="0.25">
      <c r="B61" s="351" t="s">
        <v>203</v>
      </c>
      <c r="D61" s="361"/>
      <c r="E61" s="362">
        <v>0.35</v>
      </c>
      <c r="F61" s="361">
        <f>E61*F60</f>
        <v>1.232</v>
      </c>
      <c r="G61" s="361">
        <f>E61*G60</f>
        <v>6.231977906976744</v>
      </c>
      <c r="I61" s="359"/>
      <c r="K61" s="351" t="s">
        <v>203</v>
      </c>
      <c r="M61" s="361"/>
      <c r="N61" s="362">
        <v>0.35</v>
      </c>
      <c r="O61" s="361">
        <f>N61*O60</f>
        <v>6.7319813953488383</v>
      </c>
      <c r="P61" s="361"/>
      <c r="R61" s="359"/>
    </row>
    <row r="62" spans="2:18" x14ac:dyDescent="0.25">
      <c r="B62" s="354" t="s">
        <v>204</v>
      </c>
      <c r="D62" s="359"/>
      <c r="F62" s="359">
        <f>F60-F61</f>
        <v>2.2880000000000003</v>
      </c>
      <c r="G62" s="359">
        <f>G60-G61</f>
        <v>11.573673255813954</v>
      </c>
      <c r="H62" s="360">
        <f>SUM(F62:G62)</f>
        <v>13.861673255813955</v>
      </c>
      <c r="K62" s="354" t="s">
        <v>204</v>
      </c>
      <c r="M62" s="359"/>
      <c r="O62" s="360">
        <f>O60-O61</f>
        <v>12.502251162790699</v>
      </c>
      <c r="P62" s="359"/>
    </row>
    <row r="65" spans="2:15" x14ac:dyDescent="0.25">
      <c r="B65" s="354" t="s">
        <v>448</v>
      </c>
      <c r="K65" s="354" t="s">
        <v>447</v>
      </c>
    </row>
    <row r="66" spans="2:15" ht="15.75" thickBot="1" x14ac:dyDescent="0.3">
      <c r="B66" s="357" t="s">
        <v>192</v>
      </c>
      <c r="C66" s="357"/>
      <c r="D66" s="357"/>
      <c r="E66" s="357"/>
      <c r="F66" s="357"/>
      <c r="K66" s="357" t="s">
        <v>192</v>
      </c>
      <c r="L66" s="357"/>
      <c r="M66" s="357"/>
      <c r="N66" s="357"/>
      <c r="O66" s="357"/>
    </row>
    <row r="67" spans="2:15" ht="15.75" thickTop="1" x14ac:dyDescent="0.25">
      <c r="B67" s="354" t="s">
        <v>446</v>
      </c>
      <c r="C67" s="354" t="s">
        <v>445</v>
      </c>
      <c r="D67" s="354" t="s">
        <v>152</v>
      </c>
      <c r="E67" s="354" t="s">
        <v>444</v>
      </c>
      <c r="F67" s="354" t="s">
        <v>443</v>
      </c>
      <c r="K67" s="354" t="s">
        <v>446</v>
      </c>
      <c r="L67" s="354" t="s">
        <v>445</v>
      </c>
      <c r="M67" s="354" t="s">
        <v>152</v>
      </c>
      <c r="N67" s="354" t="s">
        <v>444</v>
      </c>
      <c r="O67" s="354" t="s">
        <v>443</v>
      </c>
    </row>
    <row r="68" spans="2:15" x14ac:dyDescent="0.25">
      <c r="B68" s="351" t="s">
        <v>442</v>
      </c>
      <c r="C68" s="351">
        <v>100</v>
      </c>
      <c r="D68" s="351">
        <v>5</v>
      </c>
      <c r="E68" s="351">
        <f>C68*D68</f>
        <v>500</v>
      </c>
      <c r="F68" s="355">
        <f>750*2</f>
        <v>1500</v>
      </c>
      <c r="K68" s="351" t="s">
        <v>442</v>
      </c>
      <c r="L68" s="351">
        <v>100</v>
      </c>
      <c r="M68" s="351">
        <v>5</v>
      </c>
      <c r="N68" s="351">
        <f>L68*M68</f>
        <v>500</v>
      </c>
      <c r="O68" s="355">
        <f>750*2</f>
        <v>1500</v>
      </c>
    </row>
    <row r="69" spans="2:15" x14ac:dyDescent="0.25">
      <c r="B69" s="351" t="s">
        <v>441</v>
      </c>
      <c r="C69" s="351">
        <v>150</v>
      </c>
      <c r="D69" s="356">
        <f>E29-D68</f>
        <v>4.3511627906976749</v>
      </c>
      <c r="E69" s="358">
        <f>C69*D69</f>
        <v>652.67441860465124</v>
      </c>
      <c r="F69" s="355">
        <f>4096.36/2</f>
        <v>2048.1799999999998</v>
      </c>
      <c r="K69" s="351" t="s">
        <v>441</v>
      </c>
      <c r="L69" s="351">
        <v>150</v>
      </c>
      <c r="M69" s="356">
        <f>N29-M68</f>
        <v>5.3511627906976749</v>
      </c>
      <c r="N69" s="358">
        <f>L69*M69</f>
        <v>802.67441860465124</v>
      </c>
      <c r="O69" s="355">
        <f>4096.36/2</f>
        <v>2048.1799999999998</v>
      </c>
    </row>
    <row r="70" spans="2:15" x14ac:dyDescent="0.25">
      <c r="B70" s="354" t="s">
        <v>440</v>
      </c>
      <c r="C70" s="354"/>
      <c r="D70" s="354"/>
      <c r="E70" s="353">
        <f>SUM(E68:E69)</f>
        <v>1152.6744186046512</v>
      </c>
      <c r="F70" s="352">
        <f>SUM(F68:F69)</f>
        <v>3548.18</v>
      </c>
      <c r="G70" s="354"/>
      <c r="K70" s="354" t="s">
        <v>440</v>
      </c>
      <c r="L70" s="354"/>
      <c r="M70" s="354"/>
      <c r="N70" s="353">
        <f>SUM(N68:N69)</f>
        <v>1302.6744186046512</v>
      </c>
      <c r="O70" s="352">
        <f>SUM(O68:O69)</f>
        <v>3548.18</v>
      </c>
    </row>
    <row r="73" spans="2:15" ht="15.75" thickBot="1" x14ac:dyDescent="0.3">
      <c r="B73" s="357" t="s">
        <v>193</v>
      </c>
      <c r="C73" s="357"/>
      <c r="D73" s="357"/>
      <c r="E73" s="357"/>
      <c r="F73" s="357"/>
      <c r="K73" s="357" t="s">
        <v>193</v>
      </c>
      <c r="L73" s="357"/>
      <c r="M73" s="357"/>
      <c r="N73" s="357"/>
      <c r="O73" s="357"/>
    </row>
    <row r="74" spans="2:15" ht="15.75" thickTop="1" x14ac:dyDescent="0.25">
      <c r="B74" s="354" t="s">
        <v>446</v>
      </c>
      <c r="C74" s="354" t="s">
        <v>445</v>
      </c>
      <c r="D74" s="354" t="s">
        <v>152</v>
      </c>
      <c r="E74" s="354" t="s">
        <v>444</v>
      </c>
      <c r="F74" s="354" t="s">
        <v>443</v>
      </c>
      <c r="K74" s="354" t="s">
        <v>446</v>
      </c>
      <c r="L74" s="354" t="s">
        <v>445</v>
      </c>
      <c r="M74" s="354" t="s">
        <v>152</v>
      </c>
      <c r="N74" s="354" t="s">
        <v>444</v>
      </c>
      <c r="O74" s="354" t="s">
        <v>443</v>
      </c>
    </row>
    <row r="75" spans="2:15" x14ac:dyDescent="0.25">
      <c r="B75" s="351" t="s">
        <v>442</v>
      </c>
      <c r="C75" s="351">
        <v>100</v>
      </c>
      <c r="D75" s="351">
        <v>5</v>
      </c>
      <c r="E75" s="351">
        <f>C75*D75</f>
        <v>500</v>
      </c>
      <c r="F75" s="355">
        <f>750*2</f>
        <v>1500</v>
      </c>
      <c r="K75" s="351" t="s">
        <v>442</v>
      </c>
      <c r="L75" s="351">
        <v>100</v>
      </c>
      <c r="M75" s="351">
        <v>5</v>
      </c>
      <c r="N75" s="351">
        <f>L75*M75</f>
        <v>500</v>
      </c>
      <c r="O75" s="355">
        <f>750*2</f>
        <v>1500</v>
      </c>
    </row>
    <row r="76" spans="2:15" x14ac:dyDescent="0.25">
      <c r="B76" s="351" t="s">
        <v>441</v>
      </c>
      <c r="C76" s="351">
        <v>150</v>
      </c>
      <c r="D76" s="356">
        <f>E32-D75</f>
        <v>9.0267441860465123</v>
      </c>
      <c r="E76" s="358">
        <f>C76*D76</f>
        <v>1354.0116279069769</v>
      </c>
      <c r="F76" s="355">
        <f>4096.36/2</f>
        <v>2048.1799999999998</v>
      </c>
      <c r="K76" s="351" t="s">
        <v>441</v>
      </c>
      <c r="L76" s="351">
        <v>150</v>
      </c>
      <c r="M76" s="356">
        <f>N32-M75</f>
        <v>10.026744186046512</v>
      </c>
      <c r="N76" s="358">
        <f>L76*M76</f>
        <v>1504.0116279069769</v>
      </c>
      <c r="O76" s="355">
        <f>4096.36/2</f>
        <v>2048.1799999999998</v>
      </c>
    </row>
    <row r="77" spans="2:15" x14ac:dyDescent="0.25">
      <c r="B77" s="354" t="s">
        <v>440</v>
      </c>
      <c r="C77" s="354"/>
      <c r="D77" s="354"/>
      <c r="E77" s="353">
        <f>SUM(E75:E76)</f>
        <v>1854.0116279069769</v>
      </c>
      <c r="F77" s="352">
        <f>SUM(F75:F76)</f>
        <v>3548.18</v>
      </c>
      <c r="K77" s="354" t="s">
        <v>440</v>
      </c>
      <c r="L77" s="354"/>
      <c r="M77" s="354"/>
      <c r="N77" s="353">
        <f>SUM(N75:N76)</f>
        <v>2004.0116279069769</v>
      </c>
      <c r="O77" s="352">
        <f>SUM(O75:O76)</f>
        <v>3548.18</v>
      </c>
    </row>
    <row r="80" spans="2:15" ht="15.75" thickBot="1" x14ac:dyDescent="0.3">
      <c r="B80" s="357" t="s">
        <v>205</v>
      </c>
      <c r="C80" s="357"/>
      <c r="D80" s="357"/>
      <c r="E80" s="357"/>
      <c r="F80" s="357"/>
      <c r="K80" s="357" t="s">
        <v>205</v>
      </c>
      <c r="L80" s="357"/>
      <c r="M80" s="357"/>
      <c r="N80" s="357"/>
      <c r="O80" s="357"/>
    </row>
    <row r="81" spans="2:15" ht="15.75" thickTop="1" x14ac:dyDescent="0.25">
      <c r="B81" s="354" t="s">
        <v>446</v>
      </c>
      <c r="C81" s="354" t="s">
        <v>445</v>
      </c>
      <c r="D81" s="354" t="s">
        <v>152</v>
      </c>
      <c r="E81" s="354" t="s">
        <v>444</v>
      </c>
      <c r="F81" s="354" t="s">
        <v>443</v>
      </c>
      <c r="K81" s="354" t="s">
        <v>446</v>
      </c>
      <c r="L81" s="354" t="s">
        <v>445</v>
      </c>
      <c r="M81" s="354" t="s">
        <v>152</v>
      </c>
      <c r="N81" s="354" t="s">
        <v>444</v>
      </c>
      <c r="O81" s="354" t="s">
        <v>443</v>
      </c>
    </row>
    <row r="82" spans="2:15" x14ac:dyDescent="0.25">
      <c r="B82" s="351" t="s">
        <v>442</v>
      </c>
      <c r="C82" s="351">
        <v>100</v>
      </c>
      <c r="D82" s="351">
        <v>5</v>
      </c>
      <c r="E82" s="351">
        <f>C82*D82</f>
        <v>500</v>
      </c>
      <c r="F82" s="355">
        <f>750*2</f>
        <v>1500</v>
      </c>
      <c r="K82" s="351" t="s">
        <v>442</v>
      </c>
      <c r="L82" s="351">
        <v>100</v>
      </c>
      <c r="M82" s="351">
        <v>5</v>
      </c>
      <c r="N82" s="351">
        <f>L82*M82</f>
        <v>500</v>
      </c>
      <c r="O82" s="355">
        <f>750*2</f>
        <v>1500</v>
      </c>
    </row>
    <row r="83" spans="2:15" x14ac:dyDescent="0.25">
      <c r="B83" s="351" t="s">
        <v>441</v>
      </c>
      <c r="C83" s="351">
        <v>150</v>
      </c>
      <c r="D83" s="356">
        <f>E35-D82</f>
        <v>13.70232558139535</v>
      </c>
      <c r="E83" s="355">
        <f>C83*D83</f>
        <v>2055.3488372093025</v>
      </c>
      <c r="F83" s="355">
        <f>4096.36/2</f>
        <v>2048.1799999999998</v>
      </c>
      <c r="K83" s="351" t="s">
        <v>441</v>
      </c>
      <c r="L83" s="351">
        <v>150</v>
      </c>
      <c r="M83" s="356">
        <f>N35-M82</f>
        <v>14.70232558139535</v>
      </c>
      <c r="N83" s="355">
        <f>L83*M83</f>
        <v>2205.3488372093025</v>
      </c>
      <c r="O83" s="355">
        <f>4096.36/2</f>
        <v>2048.1799999999998</v>
      </c>
    </row>
    <row r="84" spans="2:15" x14ac:dyDescent="0.25">
      <c r="B84" s="354" t="s">
        <v>440</v>
      </c>
      <c r="C84" s="354"/>
      <c r="D84" s="354"/>
      <c r="E84" s="353">
        <f>SUM(E82:E83)</f>
        <v>2555.3488372093025</v>
      </c>
      <c r="F84" s="352">
        <f>SUM(F82:F83)</f>
        <v>3548.18</v>
      </c>
      <c r="K84" s="354" t="s">
        <v>440</v>
      </c>
      <c r="L84" s="354"/>
      <c r="M84" s="354"/>
      <c r="N84" s="353">
        <f>SUM(N82:N83)</f>
        <v>2705.3488372093025</v>
      </c>
      <c r="O84" s="352">
        <f>SUM(O82:O83)</f>
        <v>3548.18</v>
      </c>
    </row>
  </sheetData>
  <sheetProtection algorithmName="SHA-512" hashValue="QYwyhJQ8Pj4P3lp5pOVdYhH9szu7kDY6Tb1SMsDNNxIp1bqS1VIVvgoF+UHz6TKSpGpdIyjCAFcwZ3vyZeo0Kw==" saltValue="ofPbMKaZk4WWZB6XvUx7gg==" spinCount="100000" sheet="1" objects="1" scenarios="1"/>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249977111117893"/>
  </sheetPr>
  <dimension ref="A2:E89"/>
  <sheetViews>
    <sheetView showGridLines="0" zoomScale="130" zoomScaleNormal="130" workbookViewId="0">
      <selection activeCell="E12" sqref="E12"/>
    </sheetView>
  </sheetViews>
  <sheetFormatPr defaultColWidth="9" defaultRowHeight="12" x14ac:dyDescent="0.2"/>
  <cols>
    <col min="1" max="1" width="3" style="507" customWidth="1"/>
    <col min="2" max="2" width="31" style="507" bestFit="1" customWidth="1"/>
    <col min="3" max="3" width="21.140625" style="507" bestFit="1" customWidth="1"/>
    <col min="4" max="4" width="10" style="27" bestFit="1" customWidth="1"/>
    <col min="5" max="5" width="11" style="507" bestFit="1" customWidth="1"/>
    <col min="6" max="16384" width="9" style="507"/>
  </cols>
  <sheetData>
    <row r="2" spans="1:4" ht="20.25" x14ac:dyDescent="0.3">
      <c r="B2" s="740" t="s">
        <v>633</v>
      </c>
      <c r="C2" s="740"/>
      <c r="D2" s="740"/>
    </row>
    <row r="4" spans="1:4" ht="15.75" x14ac:dyDescent="0.25">
      <c r="A4" s="606"/>
      <c r="B4" s="495" t="s">
        <v>632</v>
      </c>
    </row>
    <row r="5" spans="1:4" ht="15.75" x14ac:dyDescent="0.25">
      <c r="B5" s="495"/>
    </row>
    <row r="6" spans="1:4" x14ac:dyDescent="0.2">
      <c r="B6" s="1" t="s">
        <v>631</v>
      </c>
    </row>
    <row r="7" spans="1:4" x14ac:dyDescent="0.2">
      <c r="B7" s="489"/>
      <c r="C7" s="490" t="s">
        <v>616</v>
      </c>
      <c r="D7" s="508" t="s">
        <v>49</v>
      </c>
    </row>
    <row r="8" spans="1:4" x14ac:dyDescent="0.2">
      <c r="B8" s="1" t="str">
        <f>'6. Cost Assumptions'!B4</f>
        <v>Land Costs</v>
      </c>
    </row>
    <row r="9" spans="1:4" x14ac:dyDescent="0.2">
      <c r="B9" s="507" t="str">
        <f>'6. Cost Assumptions'!B5</f>
        <v>Land Cost</v>
      </c>
      <c r="C9" s="507" t="str">
        <f>'6. Cost Assumptions'!C5</f>
        <v>per square foot</v>
      </c>
      <c r="D9" s="480">
        <f>'6. Cost Assumptions'!D5</f>
        <v>65</v>
      </c>
    </row>
    <row r="10" spans="1:4" x14ac:dyDescent="0.2">
      <c r="B10" s="507" t="str">
        <f>'6. Cost Assumptions'!B6</f>
        <v xml:space="preserve">Site Improvements </v>
      </c>
      <c r="C10" s="507" t="str">
        <f>'6. Cost Assumptions'!C6</f>
        <v>per square foot</v>
      </c>
      <c r="D10" s="480">
        <f>'6. Cost Assumptions'!D6</f>
        <v>20</v>
      </c>
    </row>
    <row r="11" spans="1:4" x14ac:dyDescent="0.2">
      <c r="D11" s="217"/>
    </row>
    <row r="12" spans="1:4" x14ac:dyDescent="0.2">
      <c r="B12" s="1" t="str">
        <f>'6. Cost Assumptions'!B8</f>
        <v>Hard Costs</v>
      </c>
      <c r="D12" s="217"/>
    </row>
    <row r="13" spans="1:4" x14ac:dyDescent="0.2">
      <c r="B13" s="507" t="str">
        <f>'6. Cost Assumptions'!B9</f>
        <v>Hard Costs (building)</v>
      </c>
      <c r="C13" s="507" t="str">
        <f>'6. Cost Assumptions'!C9</f>
        <v>per gross sf</v>
      </c>
      <c r="D13" s="480">
        <f>'6. Cost Assumptions'!D9</f>
        <v>275</v>
      </c>
    </row>
    <row r="14" spans="1:4" x14ac:dyDescent="0.2">
      <c r="B14" s="507" t="str">
        <f>'6. Cost Assumptions'!B10</f>
        <v>Parking - podium</v>
      </c>
      <c r="C14" s="507" t="str">
        <f>'6. Cost Assumptions'!C10</f>
        <v>per space</v>
      </c>
      <c r="D14" s="480">
        <f>'6. Cost Assumptions'!D10</f>
        <v>40000</v>
      </c>
    </row>
    <row r="15" spans="1:4" x14ac:dyDescent="0.2">
      <c r="B15" s="507" t="str">
        <f>'6. Cost Assumptions'!B11</f>
        <v>Parking - underground</v>
      </c>
      <c r="C15" s="507" t="str">
        <f>'6. Cost Assumptions'!C11</f>
        <v>per space</v>
      </c>
      <c r="D15" s="480">
        <f>'6. Cost Assumptions'!D11</f>
        <v>80000</v>
      </c>
    </row>
    <row r="17" spans="2:4" x14ac:dyDescent="0.2">
      <c r="B17" s="1" t="str">
        <f>'6. Cost Assumptions'!B13</f>
        <v>Soft Costs</v>
      </c>
    </row>
    <row r="18" spans="2:4" x14ac:dyDescent="0.2">
      <c r="B18" s="507" t="str">
        <f>'6. Cost Assumptions'!B14</f>
        <v>Arch, Eng &amp; Consulting</v>
      </c>
      <c r="C18" s="507" t="str">
        <f>'6. Cost Assumptions'!C14</f>
        <v>% of hard costs</v>
      </c>
      <c r="D18" s="496">
        <f>'6. Cost Assumptions'!D14</f>
        <v>0.06</v>
      </c>
    </row>
    <row r="19" spans="2:4" x14ac:dyDescent="0.2">
      <c r="B19" s="507" t="str">
        <f>'6. Cost Assumptions'!B15</f>
        <v>Taxes, Insurance, Legal &amp; Accounting</v>
      </c>
      <c r="C19" s="507" t="str">
        <f>'6. Cost Assumptions'!C15</f>
        <v>% of hard costs</v>
      </c>
      <c r="D19" s="496">
        <f>'6. Cost Assumptions'!D15</f>
        <v>0.03</v>
      </c>
    </row>
    <row r="20" spans="2:4" x14ac:dyDescent="0.2">
      <c r="B20" s="507" t="str">
        <f>'6. Cost Assumptions'!B16</f>
        <v>Developer Fees and Other Soft Costs</v>
      </c>
      <c r="C20" s="507" t="str">
        <f>'6. Cost Assumptions'!C16</f>
        <v>% of hard costs</v>
      </c>
      <c r="D20" s="496">
        <f>'6. Cost Assumptions'!D16</f>
        <v>0.05</v>
      </c>
    </row>
    <row r="21" spans="2:4" x14ac:dyDescent="0.2">
      <c r="B21" s="507" t="str">
        <f>'6. Cost Assumptions'!B17</f>
        <v>Total Soft Costs (Excluding Fees)</v>
      </c>
      <c r="C21" s="507" t="str">
        <f>'6. Cost Assumptions'!C17</f>
        <v>% of hard costs</v>
      </c>
      <c r="D21" s="496">
        <f>'6. Cost Assumptions'!D17</f>
        <v>0.14000000000000001</v>
      </c>
    </row>
    <row r="22" spans="2:4" x14ac:dyDescent="0.2">
      <c r="D22" s="496"/>
    </row>
    <row r="23" spans="2:4" x14ac:dyDescent="0.2">
      <c r="B23" s="1" t="str">
        <f>'6. Cost Assumptions'!B19</f>
        <v>Contingency</v>
      </c>
      <c r="C23" s="507" t="str">
        <f>'6. Cost Assumptions'!C19</f>
        <v>% of hard and soft costs</v>
      </c>
      <c r="D23" s="496">
        <f>'6. Cost Assumptions'!D19</f>
        <v>0.05</v>
      </c>
    </row>
    <row r="25" spans="2:4" x14ac:dyDescent="0.2">
      <c r="B25" s="1" t="str">
        <f>'6. Cost Assumptions'!B21</f>
        <v>Financing</v>
      </c>
    </row>
    <row r="26" spans="2:4" x14ac:dyDescent="0.2">
      <c r="B26" s="507" t="str">
        <f>'6. Cost Assumptions'!B22</f>
        <v>Amount Financed (Loan-to-cost)</v>
      </c>
      <c r="C26" s="507" t="str">
        <f>'6. Cost Assumptions'!C22</f>
        <v>% of hard + soft costs</v>
      </c>
      <c r="D26" s="496">
        <f>'6. Cost Assumptions'!D22</f>
        <v>0.65</v>
      </c>
    </row>
    <row r="27" spans="2:4" x14ac:dyDescent="0.2">
      <c r="B27" s="507" t="str">
        <f>'6. Cost Assumptions'!B23</f>
        <v>Average outstanding balance</v>
      </c>
      <c r="C27" s="507" t="str">
        <f>'6. Cost Assumptions'!C23</f>
        <v>% of amt financed</v>
      </c>
      <c r="D27" s="496">
        <f>'6. Cost Assumptions'!D23</f>
        <v>0.55000000000000004</v>
      </c>
    </row>
    <row r="28" spans="2:4" x14ac:dyDescent="0.2">
      <c r="B28" s="507" t="str">
        <f>'6. Cost Assumptions'!B24</f>
        <v>Construction Loan Fee</v>
      </c>
      <c r="C28" s="507" t="str">
        <f>'6. Cost Assumptions'!C24</f>
        <v>% of amt financed</v>
      </c>
      <c r="D28" s="496">
        <f>'6. Cost Assumptions'!D24</f>
        <v>0.01</v>
      </c>
    </row>
    <row r="29" spans="2:4" x14ac:dyDescent="0.2">
      <c r="B29" s="507" t="str">
        <f>'6. Cost Assumptions'!B25</f>
        <v>Construction Interest (annual)</v>
      </c>
      <c r="C29" s="507" t="str">
        <f>'6. Cost Assumptions'!C25</f>
        <v>% of outstanding balance</v>
      </c>
      <c r="D29" s="496">
        <f>'6. Cost Assumptions'!D25</f>
        <v>5.5E-2</v>
      </c>
    </row>
    <row r="30" spans="2:4" x14ac:dyDescent="0.2">
      <c r="B30" s="507" t="str">
        <f>'6. Cost Assumptions'!B26</f>
        <v>Term</v>
      </c>
      <c r="C30" s="507" t="str">
        <f>'6. Cost Assumptions'!C26</f>
        <v>months</v>
      </c>
      <c r="D30" s="217">
        <f>'6. Cost Assumptions'!D26</f>
        <v>18</v>
      </c>
    </row>
    <row r="32" spans="2:4" x14ac:dyDescent="0.2">
      <c r="B32" s="1" t="str">
        <f>'6. Cost Assumptions'!B28</f>
        <v>Calculated Factors</v>
      </c>
    </row>
    <row r="33" spans="1:5" x14ac:dyDescent="0.2">
      <c r="B33" s="507" t="str">
        <f>'6. Cost Assumptions'!B29</f>
        <v>Amt Financed * Loan Fee</v>
      </c>
      <c r="C33" s="27"/>
      <c r="D33" s="496">
        <f>'6. Cost Assumptions'!D29</f>
        <v>6.5000000000000006E-3</v>
      </c>
    </row>
    <row r="34" spans="1:5" x14ac:dyDescent="0.2">
      <c r="B34" s="507" t="str">
        <f>'6. Cost Assumptions'!B30</f>
        <v>Interest Cost</v>
      </c>
      <c r="C34" s="27"/>
      <c r="D34" s="496">
        <f>'6. Cost Assumptions'!D30</f>
        <v>2.9493750000000003E-2</v>
      </c>
    </row>
    <row r="36" spans="1:5" x14ac:dyDescent="0.2">
      <c r="B36" s="1" t="str">
        <f>'6. Cost Assumptions'!B33</f>
        <v>Municipal Fees</v>
      </c>
    </row>
    <row r="37" spans="1:5" x14ac:dyDescent="0.2">
      <c r="B37" s="509" t="str">
        <f>'6. Cost Assumptions'!B34</f>
        <v>City fees per unit</v>
      </c>
      <c r="C37" s="509" t="str">
        <f>'6. Cost Assumptions'!C34</f>
        <v>per unit</v>
      </c>
      <c r="D37" s="605">
        <f>'6. Cost Assumptions'!D34</f>
        <v>30000</v>
      </c>
    </row>
    <row r="38" spans="1:5" x14ac:dyDescent="0.2">
      <c r="B38" s="507" t="s">
        <v>622</v>
      </c>
    </row>
    <row r="41" spans="1:5" ht="15.75" x14ac:dyDescent="0.25">
      <c r="A41" s="606"/>
      <c r="B41" s="495" t="s">
        <v>7</v>
      </c>
    </row>
    <row r="42" spans="1:5" ht="15.75" x14ac:dyDescent="0.25">
      <c r="B42" s="491"/>
    </row>
    <row r="43" spans="1:5" x14ac:dyDescent="0.2">
      <c r="B43" s="1" t="s">
        <v>621</v>
      </c>
    </row>
    <row r="44" spans="1:5" x14ac:dyDescent="0.2">
      <c r="B44" s="490"/>
      <c r="C44" s="494" t="s">
        <v>616</v>
      </c>
      <c r="D44" s="508" t="s">
        <v>49</v>
      </c>
      <c r="E44" s="7"/>
    </row>
    <row r="45" spans="1:5" x14ac:dyDescent="0.2">
      <c r="B45" s="607" t="s">
        <v>3</v>
      </c>
      <c r="C45" s="516" t="s">
        <v>134</v>
      </c>
      <c r="D45" s="608">
        <f>'7. Revenue Assumptions'!D12</f>
        <v>0.05</v>
      </c>
      <c r="E45" s="7"/>
    </row>
    <row r="46" spans="1:5" x14ac:dyDescent="0.2">
      <c r="B46" s="7" t="s">
        <v>116</v>
      </c>
      <c r="C46" s="609"/>
      <c r="D46" s="608">
        <f>'7. Revenue Assumptions'!D13</f>
        <v>0.3</v>
      </c>
      <c r="E46" s="7"/>
    </row>
    <row r="47" spans="1:5" x14ac:dyDescent="0.2">
      <c r="B47" s="509" t="s">
        <v>5</v>
      </c>
      <c r="C47" s="610" t="s">
        <v>136</v>
      </c>
      <c r="D47" s="611">
        <f>'7. Revenue Assumptions'!D17</f>
        <v>4.2500000000000003E-2</v>
      </c>
    </row>
    <row r="48" spans="1:5" x14ac:dyDescent="0.2">
      <c r="B48" s="612" t="s">
        <v>135</v>
      </c>
    </row>
    <row r="49" spans="2:5" x14ac:dyDescent="0.2">
      <c r="B49" s="507" t="s">
        <v>228</v>
      </c>
    </row>
    <row r="50" spans="2:5" x14ac:dyDescent="0.2">
      <c r="B50" s="507" t="s">
        <v>622</v>
      </c>
    </row>
    <row r="52" spans="2:5" x14ac:dyDescent="0.2">
      <c r="B52" s="1" t="s">
        <v>620</v>
      </c>
    </row>
    <row r="53" spans="2:5" x14ac:dyDescent="0.2">
      <c r="B53" s="490" t="s">
        <v>617</v>
      </c>
      <c r="C53" s="494" t="s">
        <v>117</v>
      </c>
      <c r="D53" s="494" t="s">
        <v>619</v>
      </c>
      <c r="E53" s="494" t="s">
        <v>618</v>
      </c>
    </row>
    <row r="54" spans="2:5" x14ac:dyDescent="0.2">
      <c r="B54" s="15" t="s">
        <v>711</v>
      </c>
      <c r="C54" s="34"/>
      <c r="D54" s="34"/>
      <c r="E54" s="34"/>
    </row>
    <row r="55" spans="2:5" x14ac:dyDescent="0.2">
      <c r="B55" s="510" t="s">
        <v>713</v>
      </c>
      <c r="C55" s="511">
        <v>25</v>
      </c>
      <c r="D55" s="511">
        <v>4.25</v>
      </c>
      <c r="E55" s="512">
        <v>2150</v>
      </c>
    </row>
    <row r="56" spans="2:5" x14ac:dyDescent="0.2">
      <c r="B56" s="510" t="s">
        <v>714</v>
      </c>
      <c r="C56" s="511">
        <v>25</v>
      </c>
      <c r="D56" s="511">
        <v>4.25</v>
      </c>
      <c r="E56" s="512">
        <v>2766.25</v>
      </c>
    </row>
    <row r="57" spans="2:5" x14ac:dyDescent="0.2">
      <c r="B57" s="53" t="s">
        <v>715</v>
      </c>
      <c r="C57" s="513">
        <v>25</v>
      </c>
      <c r="D57" s="513">
        <v>4</v>
      </c>
      <c r="E57" s="514">
        <v>3225</v>
      </c>
    </row>
    <row r="58" spans="2:5" x14ac:dyDescent="0.2">
      <c r="B58" s="53"/>
      <c r="C58" s="513"/>
      <c r="D58" s="513"/>
      <c r="E58" s="514"/>
    </row>
    <row r="59" spans="2:5" x14ac:dyDescent="0.2">
      <c r="B59" s="7" t="s">
        <v>712</v>
      </c>
      <c r="C59" s="603" t="s">
        <v>717</v>
      </c>
      <c r="D59" s="511">
        <v>2.8718023255813954</v>
      </c>
      <c r="E59" s="512">
        <v>1852.3125</v>
      </c>
    </row>
    <row r="60" spans="2:5" s="7" customFormat="1" x14ac:dyDescent="0.2">
      <c r="B60" s="53"/>
      <c r="C60" s="513"/>
      <c r="D60" s="513"/>
      <c r="E60" s="514"/>
    </row>
    <row r="61" spans="2:5" x14ac:dyDescent="0.2">
      <c r="B61" s="509" t="s">
        <v>716</v>
      </c>
      <c r="C61" s="604" t="s">
        <v>717</v>
      </c>
      <c r="D61" s="515">
        <v>2</v>
      </c>
      <c r="E61" s="604" t="s">
        <v>717</v>
      </c>
    </row>
    <row r="62" spans="2:5" x14ac:dyDescent="0.2">
      <c r="B62" s="507" t="s">
        <v>718</v>
      </c>
      <c r="C62" s="513"/>
      <c r="D62" s="513"/>
      <c r="E62" s="514"/>
    </row>
    <row r="63" spans="2:5" x14ac:dyDescent="0.2">
      <c r="C63" s="7"/>
      <c r="D63" s="493"/>
      <c r="E63" s="7"/>
    </row>
    <row r="65" spans="1:4" ht="15.75" x14ac:dyDescent="0.25">
      <c r="A65" s="606"/>
      <c r="B65" s="495" t="s">
        <v>0</v>
      </c>
    </row>
    <row r="66" spans="1:4" ht="15.75" x14ac:dyDescent="0.25">
      <c r="B66" s="495"/>
    </row>
    <row r="67" spans="1:4" x14ac:dyDescent="0.2">
      <c r="B67" s="1" t="s">
        <v>630</v>
      </c>
    </row>
    <row r="68" spans="1:4" x14ac:dyDescent="0.2">
      <c r="B68" s="490"/>
      <c r="C68" s="494" t="s">
        <v>49</v>
      </c>
    </row>
    <row r="69" spans="1:4" x14ac:dyDescent="0.2">
      <c r="B69" s="7" t="s">
        <v>629</v>
      </c>
      <c r="C69" s="516">
        <f>'5. Parking'!D5</f>
        <v>450</v>
      </c>
    </row>
    <row r="70" spans="1:4" x14ac:dyDescent="0.2">
      <c r="B70" s="509" t="s">
        <v>203</v>
      </c>
      <c r="C70" s="517">
        <f>'5. Parking'!D19</f>
        <v>0</v>
      </c>
    </row>
    <row r="71" spans="1:4" x14ac:dyDescent="0.2">
      <c r="B71" s="507" t="s">
        <v>622</v>
      </c>
    </row>
    <row r="73" spans="1:4" ht="15.75" x14ac:dyDescent="0.25">
      <c r="A73" s="606"/>
      <c r="B73" s="495" t="s">
        <v>177</v>
      </c>
    </row>
    <row r="74" spans="1:4" ht="15.75" x14ac:dyDescent="0.25">
      <c r="A74" s="612"/>
      <c r="B74" s="495"/>
    </row>
    <row r="75" spans="1:4" x14ac:dyDescent="0.2">
      <c r="A75" s="612"/>
      <c r="B75" s="1" t="s">
        <v>736</v>
      </c>
    </row>
    <row r="76" spans="1:4" x14ac:dyDescent="0.2">
      <c r="B76" s="490"/>
      <c r="C76" s="494" t="s">
        <v>638</v>
      </c>
      <c r="D76" s="492" t="s">
        <v>639</v>
      </c>
    </row>
    <row r="77" spans="1:4" x14ac:dyDescent="0.2">
      <c r="B77" s="507" t="s">
        <v>708</v>
      </c>
      <c r="C77" s="518">
        <v>1</v>
      </c>
      <c r="D77" s="217">
        <f>'3. Prototypes'!C21</f>
        <v>21470</v>
      </c>
    </row>
    <row r="78" spans="1:4" x14ac:dyDescent="0.2">
      <c r="B78" s="7" t="s">
        <v>709</v>
      </c>
      <c r="C78" s="519">
        <v>0.25</v>
      </c>
      <c r="D78" s="505">
        <f>C78*$D$77</f>
        <v>5367.5</v>
      </c>
    </row>
    <row r="79" spans="1:4" x14ac:dyDescent="0.2">
      <c r="B79" s="509" t="s">
        <v>710</v>
      </c>
      <c r="C79" s="517">
        <v>0</v>
      </c>
      <c r="D79" s="506">
        <f>C79*$D$77</f>
        <v>0</v>
      </c>
    </row>
    <row r="80" spans="1:4" x14ac:dyDescent="0.2">
      <c r="B80" s="507" t="s">
        <v>622</v>
      </c>
      <c r="C80" s="519"/>
      <c r="D80" s="505"/>
    </row>
    <row r="82" spans="1:3" ht="15.75" x14ac:dyDescent="0.25">
      <c r="A82" s="606"/>
      <c r="B82" s="495" t="s">
        <v>119</v>
      </c>
    </row>
    <row r="83" spans="1:3" ht="15.75" x14ac:dyDescent="0.25">
      <c r="B83" s="495"/>
    </row>
    <row r="84" spans="1:3" x14ac:dyDescent="0.2">
      <c r="B84" s="1" t="s">
        <v>640</v>
      </c>
    </row>
    <row r="85" spans="1:3" x14ac:dyDescent="0.2">
      <c r="B85" s="490" t="s">
        <v>489</v>
      </c>
      <c r="C85" s="494" t="s">
        <v>623</v>
      </c>
    </row>
    <row r="86" spans="1:3" x14ac:dyDescent="0.2">
      <c r="B86" s="507" t="s">
        <v>694</v>
      </c>
      <c r="C86" s="520" t="s">
        <v>624</v>
      </c>
    </row>
    <row r="87" spans="1:3" x14ac:dyDescent="0.2">
      <c r="B87" s="507" t="s">
        <v>625</v>
      </c>
      <c r="C87" s="520" t="s">
        <v>628</v>
      </c>
    </row>
    <row r="88" spans="1:3" x14ac:dyDescent="0.2">
      <c r="B88" s="509" t="s">
        <v>626</v>
      </c>
      <c r="C88" s="521" t="s">
        <v>627</v>
      </c>
    </row>
    <row r="89" spans="1:3" x14ac:dyDescent="0.2">
      <c r="B89" s="507" t="s">
        <v>622</v>
      </c>
    </row>
  </sheetData>
  <sheetProtection algorithmName="SHA-512" hashValue="XQgUAECmAlldh/vEdYuyvB2M1MWxt/6IDLSvDksanAMNGlY+MxB/5aeGaB2jm7yl3P576fW4e5uWGHgDyXPEIg==" saltValue="FikRjgwfHZjin+kycDnCxw==" spinCount="100000" sheet="1" objects="1" scenarios="1"/>
  <mergeCells count="1">
    <mergeCell ref="B2:D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32"/>
  <sheetViews>
    <sheetView workbookViewId="0">
      <selection activeCell="M30" sqref="M30"/>
    </sheetView>
  </sheetViews>
  <sheetFormatPr defaultColWidth="9" defaultRowHeight="12" x14ac:dyDescent="0.2"/>
  <cols>
    <col min="1" max="1" width="3.140625" customWidth="1"/>
    <col min="2" max="2" width="33.42578125" customWidth="1"/>
    <col min="3" max="3" width="10.5703125" bestFit="1" customWidth="1"/>
    <col min="4" max="4" width="11.85546875" customWidth="1"/>
    <col min="6" max="6" width="11" customWidth="1"/>
    <col min="7" max="7" width="11.42578125" customWidth="1"/>
  </cols>
  <sheetData>
    <row r="1" spans="1:7" x14ac:dyDescent="0.2">
      <c r="A1" s="1" t="s">
        <v>57</v>
      </c>
    </row>
    <row r="2" spans="1:7" x14ac:dyDescent="0.2">
      <c r="A2" s="8"/>
      <c r="B2" s="8"/>
      <c r="C2" s="36"/>
      <c r="D2" s="36"/>
      <c r="F2" s="36" t="s">
        <v>54</v>
      </c>
      <c r="G2" s="36" t="s">
        <v>55</v>
      </c>
    </row>
    <row r="3" spans="1:7" x14ac:dyDescent="0.2">
      <c r="A3" s="5" t="s">
        <v>84</v>
      </c>
      <c r="C3" s="55"/>
      <c r="F3" s="55">
        <f>G3/43560</f>
        <v>28.74265381083563</v>
      </c>
      <c r="G3" s="37">
        <v>1252030</v>
      </c>
    </row>
    <row r="4" spans="1:7" x14ac:dyDescent="0.2">
      <c r="A4" s="5" t="s">
        <v>85</v>
      </c>
      <c r="C4" s="55"/>
      <c r="F4" s="55">
        <f>G4/43560</f>
        <v>16.758494031221304</v>
      </c>
      <c r="G4" s="37">
        <v>730000</v>
      </c>
    </row>
    <row r="5" spans="1:7" x14ac:dyDescent="0.2">
      <c r="A5" s="3"/>
      <c r="B5" s="3"/>
      <c r="C5" s="3"/>
      <c r="D5" s="3"/>
    </row>
    <row r="6" spans="1:7" x14ac:dyDescent="0.2">
      <c r="A6" s="4"/>
      <c r="B6" s="4"/>
      <c r="C6" s="31" t="s">
        <v>53</v>
      </c>
      <c r="D6" s="31" t="s">
        <v>79</v>
      </c>
    </row>
    <row r="7" spans="1:7" x14ac:dyDescent="0.2">
      <c r="A7" s="3"/>
      <c r="B7" s="3" t="s">
        <v>69</v>
      </c>
      <c r="C7" s="34"/>
      <c r="D7" s="34"/>
    </row>
    <row r="8" spans="1:7" x14ac:dyDescent="0.2">
      <c r="A8" s="3" t="s">
        <v>58</v>
      </c>
      <c r="B8" s="41" t="s">
        <v>52</v>
      </c>
      <c r="C8" s="37">
        <f>151364+315231</f>
        <v>466595</v>
      </c>
      <c r="D8" s="38">
        <f>C8/G3</f>
        <v>0.37267078264897807</v>
      </c>
    </row>
    <row r="9" spans="1:7" x14ac:dyDescent="0.2">
      <c r="A9" s="3" t="s">
        <v>59</v>
      </c>
      <c r="B9" s="52" t="s">
        <v>68</v>
      </c>
      <c r="C9" s="39">
        <v>151364</v>
      </c>
      <c r="D9" s="40">
        <f>C9/$G$3</f>
        <v>0.12089486673642005</v>
      </c>
    </row>
    <row r="10" spans="1:7" x14ac:dyDescent="0.2">
      <c r="A10" s="7" t="s">
        <v>60</v>
      </c>
      <c r="B10" s="53" t="s">
        <v>65</v>
      </c>
      <c r="C10" s="49">
        <f>C8-C9</f>
        <v>315231</v>
      </c>
      <c r="D10" s="50">
        <f>C10/$G$3</f>
        <v>0.25177591591255799</v>
      </c>
    </row>
    <row r="11" spans="1:7" x14ac:dyDescent="0.2">
      <c r="A11" s="3"/>
      <c r="B11" s="3"/>
      <c r="C11" s="37"/>
      <c r="D11" s="38"/>
    </row>
    <row r="12" spans="1:7" x14ac:dyDescent="0.2">
      <c r="A12" s="3"/>
      <c r="B12" s="7" t="s">
        <v>56</v>
      </c>
      <c r="C12" s="37"/>
      <c r="D12" s="38"/>
    </row>
    <row r="13" spans="1:7" x14ac:dyDescent="0.2">
      <c r="A13" s="6" t="s">
        <v>61</v>
      </c>
      <c r="B13" s="41" t="s">
        <v>81</v>
      </c>
      <c r="C13" s="37">
        <f>G3*D13</f>
        <v>626015</v>
      </c>
      <c r="D13" s="38">
        <v>0.5</v>
      </c>
    </row>
    <row r="14" spans="1:7" x14ac:dyDescent="0.2">
      <c r="A14" s="47" t="s">
        <v>62</v>
      </c>
      <c r="B14" s="48" t="s">
        <v>70</v>
      </c>
      <c r="C14" s="45">
        <f>C13-C10</f>
        <v>310784</v>
      </c>
      <c r="D14" s="46">
        <f>C14/$G$3</f>
        <v>0.24822408408744198</v>
      </c>
      <c r="F14" s="38">
        <f>C14/G4</f>
        <v>0.42573150684931504</v>
      </c>
    </row>
    <row r="15" spans="1:7" x14ac:dyDescent="0.2">
      <c r="A15" s="3"/>
      <c r="B15" s="41"/>
      <c r="C15" s="37"/>
      <c r="D15" s="38"/>
    </row>
    <row r="16" spans="1:7" x14ac:dyDescent="0.2">
      <c r="A16" s="3"/>
      <c r="B16" s="51" t="s">
        <v>67</v>
      </c>
      <c r="C16" s="37"/>
      <c r="D16" s="38"/>
    </row>
    <row r="17" spans="1:5" x14ac:dyDescent="0.2">
      <c r="A17" s="44" t="s">
        <v>63</v>
      </c>
      <c r="B17" s="48" t="s">
        <v>74</v>
      </c>
      <c r="C17" s="45">
        <v>763397</v>
      </c>
      <c r="D17" s="46">
        <f>C17/$G$3</f>
        <v>0.60972740269801839</v>
      </c>
    </row>
    <row r="18" spans="1:5" x14ac:dyDescent="0.2">
      <c r="A18" s="3" t="s">
        <v>64</v>
      </c>
      <c r="B18" s="41" t="s">
        <v>66</v>
      </c>
      <c r="C18" s="37">
        <f>C17-C14</f>
        <v>452613</v>
      </c>
      <c r="D18" s="38">
        <f>C18/$G$3</f>
        <v>0.36150331861057644</v>
      </c>
    </row>
    <row r="19" spans="1:5" x14ac:dyDescent="0.2">
      <c r="A19" s="3" t="s">
        <v>75</v>
      </c>
      <c r="B19" s="41" t="s">
        <v>78</v>
      </c>
      <c r="C19" s="37">
        <v>1078628</v>
      </c>
      <c r="D19" s="38">
        <f>C19/$G$3</f>
        <v>0.86150331861057639</v>
      </c>
    </row>
    <row r="20" spans="1:5" x14ac:dyDescent="0.2">
      <c r="A20" s="54" t="s">
        <v>76</v>
      </c>
      <c r="B20" s="42" t="s">
        <v>77</v>
      </c>
      <c r="C20" s="35">
        <f>C19-C8</f>
        <v>612033</v>
      </c>
      <c r="D20" s="43">
        <f>C20/$G$3</f>
        <v>0.48883253596159837</v>
      </c>
    </row>
    <row r="21" spans="1:5" x14ac:dyDescent="0.2">
      <c r="A21" s="741" t="s">
        <v>80</v>
      </c>
      <c r="B21" s="741"/>
      <c r="C21" s="741"/>
      <c r="D21" s="741"/>
    </row>
    <row r="22" spans="1:5" ht="24.75" customHeight="1" x14ac:dyDescent="0.2">
      <c r="A22" s="742" t="s">
        <v>82</v>
      </c>
      <c r="B22" s="742"/>
      <c r="C22" s="742"/>
      <c r="D22" s="742"/>
    </row>
    <row r="23" spans="1:5" x14ac:dyDescent="0.2">
      <c r="A23" s="743" t="s">
        <v>71</v>
      </c>
      <c r="B23" s="743"/>
      <c r="C23" s="743"/>
      <c r="D23" s="743"/>
    </row>
    <row r="24" spans="1:5" x14ac:dyDescent="0.2">
      <c r="C24" s="30"/>
      <c r="D24" s="30"/>
    </row>
    <row r="25" spans="1:5" x14ac:dyDescent="0.2">
      <c r="C25" s="28"/>
    </row>
    <row r="26" spans="1:5" x14ac:dyDescent="0.2">
      <c r="C26" s="28"/>
      <c r="D26" s="33"/>
    </row>
    <row r="27" spans="1:5" x14ac:dyDescent="0.2">
      <c r="C27" s="28"/>
      <c r="D27" s="33"/>
    </row>
    <row r="29" spans="1:5" x14ac:dyDescent="0.2">
      <c r="C29" s="28"/>
      <c r="D29" s="33"/>
      <c r="E29" s="27"/>
    </row>
    <row r="30" spans="1:5" x14ac:dyDescent="0.2">
      <c r="C30" s="28"/>
      <c r="D30" s="33"/>
      <c r="E30" s="27"/>
    </row>
    <row r="31" spans="1:5" x14ac:dyDescent="0.2">
      <c r="C31" s="28"/>
      <c r="D31" s="33"/>
      <c r="E31" s="27"/>
    </row>
    <row r="32" spans="1:5" x14ac:dyDescent="0.2">
      <c r="C32" s="28"/>
      <c r="D32" s="33"/>
      <c r="E32" s="27"/>
    </row>
  </sheetData>
  <sheetProtection algorithmName="SHA-512" hashValue="pUUZ83McDfOlTil/FoHogAvcv3f7/7ElIS1vG6v4M6Q/IfW/3VW76m7mVHJ4dpvbYV41HAYWxG5XGsi65m+1Ig==" saltValue="8d6MFVbR5Nacp1JgtktMvg==" spinCount="100000" sheet="1" objects="1" scenarios="1"/>
  <mergeCells count="3">
    <mergeCell ref="A21:D21"/>
    <mergeCell ref="A22:D22"/>
    <mergeCell ref="A23:D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39"/>
  <sheetViews>
    <sheetView workbookViewId="0">
      <selection activeCell="B45" sqref="B45"/>
    </sheetView>
  </sheetViews>
  <sheetFormatPr defaultColWidth="9" defaultRowHeight="12" x14ac:dyDescent="0.2"/>
  <cols>
    <col min="1" max="1" width="22.42578125" customWidth="1"/>
    <col min="2" max="2" width="53" customWidth="1"/>
    <col min="3" max="3" width="56" customWidth="1"/>
  </cols>
  <sheetData>
    <row r="1" spans="1:3" x14ac:dyDescent="0.2">
      <c r="A1" s="1" t="s">
        <v>48</v>
      </c>
      <c r="B1" s="1" t="s">
        <v>6</v>
      </c>
    </row>
    <row r="2" spans="1:3" x14ac:dyDescent="0.2">
      <c r="A2" t="s">
        <v>477</v>
      </c>
      <c r="B2" t="s">
        <v>137</v>
      </c>
    </row>
    <row r="4" spans="1:3" x14ac:dyDescent="0.2">
      <c r="A4" s="1" t="s">
        <v>139</v>
      </c>
    </row>
    <row r="5" spans="1:3" x14ac:dyDescent="0.2">
      <c r="A5" t="s">
        <v>470</v>
      </c>
      <c r="B5" t="s">
        <v>471</v>
      </c>
    </row>
    <row r="6" spans="1:3" x14ac:dyDescent="0.2">
      <c r="A6" t="s">
        <v>472</v>
      </c>
      <c r="B6" t="s">
        <v>476</v>
      </c>
    </row>
    <row r="7" spans="1:3" x14ac:dyDescent="0.2">
      <c r="A7" t="s">
        <v>123</v>
      </c>
      <c r="B7" t="s">
        <v>475</v>
      </c>
    </row>
    <row r="9" spans="1:3" x14ac:dyDescent="0.2">
      <c r="A9" s="1" t="s">
        <v>478</v>
      </c>
    </row>
    <row r="10" spans="1:3" x14ac:dyDescent="0.2">
      <c r="A10" t="s">
        <v>281</v>
      </c>
      <c r="B10" t="s">
        <v>283</v>
      </c>
      <c r="C10" t="s">
        <v>282</v>
      </c>
    </row>
    <row r="11" spans="1:3" x14ac:dyDescent="0.2">
      <c r="A11" t="s">
        <v>473</v>
      </c>
      <c r="B11" t="s">
        <v>474</v>
      </c>
    </row>
    <row r="12" spans="1:3" x14ac:dyDescent="0.2">
      <c r="A12" t="s">
        <v>468</v>
      </c>
      <c r="B12" t="s">
        <v>469</v>
      </c>
    </row>
    <row r="13" spans="1:3" x14ac:dyDescent="0.2">
      <c r="A13" t="s">
        <v>212</v>
      </c>
      <c r="B13" t="s">
        <v>138</v>
      </c>
      <c r="C13" t="s">
        <v>284</v>
      </c>
    </row>
    <row r="14" spans="1:3" x14ac:dyDescent="0.2">
      <c r="A14" t="s">
        <v>467</v>
      </c>
      <c r="B14" t="s">
        <v>138</v>
      </c>
    </row>
    <row r="16" spans="1:3" x14ac:dyDescent="0.2">
      <c r="A16" s="1" t="s">
        <v>481</v>
      </c>
    </row>
    <row r="17" spans="1:8" x14ac:dyDescent="0.2">
      <c r="A17" t="s">
        <v>482</v>
      </c>
    </row>
    <row r="18" spans="1:8" x14ac:dyDescent="0.2">
      <c r="A18" t="s">
        <v>483</v>
      </c>
      <c r="B18" s="1"/>
    </row>
    <row r="22" spans="1:8" x14ac:dyDescent="0.2">
      <c r="H22">
        <f>119030/104470-1</f>
        <v>0.139370154111228</v>
      </c>
    </row>
    <row r="36" spans="2:2" x14ac:dyDescent="0.2">
      <c r="B36" s="32"/>
    </row>
    <row r="38" spans="2:2" x14ac:dyDescent="0.2">
      <c r="B38" s="26"/>
    </row>
    <row r="39" spans="2:2" x14ac:dyDescent="0.2">
      <c r="B39" s="26"/>
    </row>
  </sheetData>
  <sheetProtection algorithmName="SHA-512" hashValue="5vyZeQ42mxww/99e951etahK8CL65teXVWprUYHu4I6sT7KriDl+ajYErzs/txnjuDjRZ2ciPuFp83BlCgPwXg==" saltValue="SjoVKYJ6QaE4qKLc9Dnyrg=="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59999389629810485"/>
  </sheetPr>
  <dimension ref="B2:F36"/>
  <sheetViews>
    <sheetView zoomScale="120" zoomScaleNormal="120" workbookViewId="0">
      <selection activeCell="F21" activeCellId="1" sqref="D6 F21"/>
    </sheetView>
  </sheetViews>
  <sheetFormatPr defaultColWidth="9" defaultRowHeight="12" x14ac:dyDescent="0.2"/>
  <cols>
    <col min="1" max="1" width="3" customWidth="1"/>
    <col min="2" max="2" width="25.85546875" customWidth="1"/>
    <col min="3" max="3" width="3.42578125" customWidth="1"/>
    <col min="4" max="4" width="26.140625" bestFit="1" customWidth="1"/>
    <col min="5" max="5" width="3.42578125" customWidth="1"/>
    <col min="6" max="6" width="23.140625" bestFit="1" customWidth="1"/>
  </cols>
  <sheetData>
    <row r="2" spans="2:6" x14ac:dyDescent="0.2">
      <c r="B2" s="481" t="s">
        <v>614</v>
      </c>
      <c r="D2" s="481" t="s">
        <v>597</v>
      </c>
      <c r="F2" s="481" t="s">
        <v>600</v>
      </c>
    </row>
    <row r="3" spans="2:6" x14ac:dyDescent="0.2">
      <c r="B3" s="465" t="s">
        <v>178</v>
      </c>
      <c r="D3" s="465" t="s">
        <v>598</v>
      </c>
      <c r="F3" s="465" t="s">
        <v>613</v>
      </c>
    </row>
    <row r="4" spans="2:6" x14ac:dyDescent="0.2">
      <c r="B4" s="465">
        <v>3</v>
      </c>
      <c r="D4" s="465">
        <v>0</v>
      </c>
      <c r="F4" s="465">
        <v>0</v>
      </c>
    </row>
    <row r="5" spans="2:6" x14ac:dyDescent="0.2">
      <c r="B5" s="465">
        <v>4</v>
      </c>
      <c r="D5" s="465">
        <v>0.5</v>
      </c>
      <c r="F5" s="465">
        <v>120</v>
      </c>
    </row>
    <row r="6" spans="2:6" x14ac:dyDescent="0.2">
      <c r="B6" s="465">
        <v>5</v>
      </c>
      <c r="D6" s="465">
        <v>1</v>
      </c>
      <c r="F6" s="465">
        <v>250</v>
      </c>
    </row>
    <row r="7" spans="2:6" x14ac:dyDescent="0.2">
      <c r="D7" s="465">
        <v>1.5</v>
      </c>
      <c r="F7" s="465">
        <v>400</v>
      </c>
    </row>
    <row r="8" spans="2:6" x14ac:dyDescent="0.2">
      <c r="B8" s="465" t="s">
        <v>580</v>
      </c>
      <c r="D8" s="465">
        <v>2</v>
      </c>
    </row>
    <row r="9" spans="2:6" x14ac:dyDescent="0.2">
      <c r="B9" s="465" t="s">
        <v>642</v>
      </c>
      <c r="D9" s="465">
        <v>3</v>
      </c>
    </row>
    <row r="10" spans="2:6" x14ac:dyDescent="0.2">
      <c r="B10" s="465" t="s">
        <v>644</v>
      </c>
    </row>
    <row r="11" spans="2:6" x14ac:dyDescent="0.2">
      <c r="B11" s="465" t="s">
        <v>643</v>
      </c>
      <c r="D11" s="465" t="s">
        <v>599</v>
      </c>
    </row>
    <row r="12" spans="2:6" x14ac:dyDescent="0.2">
      <c r="D12" s="465">
        <v>0</v>
      </c>
    </row>
    <row r="13" spans="2:6" x14ac:dyDescent="0.2">
      <c r="B13" s="465" t="s">
        <v>636</v>
      </c>
      <c r="D13" s="465">
        <v>0.5</v>
      </c>
    </row>
    <row r="14" spans="2:6" x14ac:dyDescent="0.2">
      <c r="B14" s="466" t="s">
        <v>708</v>
      </c>
      <c r="D14" s="465">
        <v>1</v>
      </c>
    </row>
    <row r="15" spans="2:6" x14ac:dyDescent="0.2">
      <c r="B15" s="466" t="s">
        <v>709</v>
      </c>
      <c r="D15" s="465">
        <v>2</v>
      </c>
    </row>
    <row r="16" spans="2:6" x14ac:dyDescent="0.2">
      <c r="B16" s="466" t="s">
        <v>710</v>
      </c>
      <c r="D16" s="465">
        <v>3</v>
      </c>
    </row>
    <row r="18" spans="2:4" x14ac:dyDescent="0.2">
      <c r="D18" s="481" t="s">
        <v>612</v>
      </c>
    </row>
    <row r="19" spans="2:4" x14ac:dyDescent="0.2">
      <c r="B19" s="744" t="s">
        <v>637</v>
      </c>
      <c r="D19" s="486" t="s">
        <v>612</v>
      </c>
    </row>
    <row r="20" spans="2:4" x14ac:dyDescent="0.2">
      <c r="B20" s="744"/>
      <c r="D20" s="487">
        <v>0</v>
      </c>
    </row>
    <row r="21" spans="2:4" x14ac:dyDescent="0.2">
      <c r="B21" s="744"/>
      <c r="D21" s="487">
        <v>0.05</v>
      </c>
    </row>
    <row r="22" spans="2:4" x14ac:dyDescent="0.2">
      <c r="D22" s="487">
        <v>0.1</v>
      </c>
    </row>
    <row r="23" spans="2:4" x14ac:dyDescent="0.2">
      <c r="D23" s="487">
        <v>0.2</v>
      </c>
    </row>
    <row r="36" spans="2:2" x14ac:dyDescent="0.2">
      <c r="B36" s="487"/>
    </row>
  </sheetData>
  <sheetProtection algorithmName="SHA-512" hashValue="o/MzUXRcJAbJjNtNK4uV4+EEJX8wiOdCoyYGYh6bZqDI06zYOhFwq5lSwQUEV0TbwCglJ5xeRj7V8wq9od2FAw==" saltValue="o4LRrrfARqMzsNJXLNXbaQ==" spinCount="100000" sheet="1" objects="1" scenarios="1"/>
  <mergeCells count="1">
    <mergeCell ref="B19:B21"/>
  </mergeCells>
  <pageMargins left="0.7" right="0.7" top="0.75" bottom="0.75" header="0.3" footer="0.3"/>
  <tableParts count="7">
    <tablePart r:id="rId1"/>
    <tablePart r:id="rId2"/>
    <tablePart r:id="rId3"/>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8" tint="-0.249977111117893"/>
    <pageSetUpPr fitToPage="1"/>
  </sheetPr>
  <dimension ref="A1:K99"/>
  <sheetViews>
    <sheetView showGridLines="0" zoomScale="140" zoomScaleNormal="140" workbookViewId="0">
      <selection activeCell="C62" sqref="C62"/>
    </sheetView>
  </sheetViews>
  <sheetFormatPr defaultColWidth="9" defaultRowHeight="13.5" x14ac:dyDescent="0.25"/>
  <cols>
    <col min="1" max="1" width="1.85546875" style="72" customWidth="1"/>
    <col min="2" max="2" width="34.85546875" style="72" customWidth="1"/>
    <col min="3" max="3" width="27.42578125" style="73" customWidth="1"/>
    <col min="4" max="4" width="6.140625" style="72" customWidth="1"/>
    <col min="5" max="5" width="31.140625" style="72" customWidth="1"/>
    <col min="6" max="7" width="8.5703125" style="72" customWidth="1"/>
    <col min="8" max="8" width="21.42578125" style="72" customWidth="1"/>
    <col min="9" max="16384" width="9" style="72"/>
  </cols>
  <sheetData>
    <row r="1" spans="1:9" x14ac:dyDescent="0.25">
      <c r="A1" s="82"/>
      <c r="B1" s="82"/>
      <c r="C1" s="88"/>
    </row>
    <row r="2" spans="1:9" x14ac:dyDescent="0.25">
      <c r="A2" s="246"/>
      <c r="B2" s="478" t="s">
        <v>130</v>
      </c>
      <c r="C2" s="103"/>
    </row>
    <row r="3" spans="1:9" x14ac:dyDescent="0.25">
      <c r="A3" s="82"/>
      <c r="B3" s="83" t="s">
        <v>39</v>
      </c>
      <c r="C3" s="84">
        <v>1.29</v>
      </c>
      <c r="D3" s="85"/>
      <c r="E3" s="85"/>
    </row>
    <row r="4" spans="1:9" x14ac:dyDescent="0.25">
      <c r="A4" s="82"/>
      <c r="B4" s="83" t="s">
        <v>72</v>
      </c>
      <c r="C4" s="86">
        <f>C3*43560</f>
        <v>56192.4</v>
      </c>
      <c r="D4" s="85"/>
      <c r="E4" s="85"/>
      <c r="I4" s="81"/>
    </row>
    <row r="5" spans="1:9" x14ac:dyDescent="0.25">
      <c r="A5" s="82"/>
      <c r="B5" s="83"/>
      <c r="C5" s="86"/>
      <c r="D5" s="85"/>
      <c r="E5" s="85"/>
      <c r="I5" s="81"/>
    </row>
    <row r="6" spans="1:9" x14ac:dyDescent="0.25">
      <c r="A6" s="82"/>
      <c r="B6" s="602" t="s">
        <v>585</v>
      </c>
      <c r="C6" s="86">
        <f>Tool!D10</f>
        <v>5</v>
      </c>
      <c r="D6" s="85"/>
      <c r="E6" s="85"/>
      <c r="I6" s="81"/>
    </row>
    <row r="7" spans="1:9" x14ac:dyDescent="0.25">
      <c r="A7" s="82"/>
      <c r="B7" s="83" t="s">
        <v>584</v>
      </c>
      <c r="C7" s="82">
        <f>IF(C6=3,35,IF(C6=4,45,55))</f>
        <v>55</v>
      </c>
      <c r="D7" s="85"/>
      <c r="E7" s="85"/>
    </row>
    <row r="8" spans="1:9" x14ac:dyDescent="0.25">
      <c r="A8" s="82"/>
      <c r="B8" s="83"/>
      <c r="C8" s="245"/>
      <c r="D8" s="85"/>
      <c r="E8" s="85"/>
    </row>
    <row r="9" spans="1:9" x14ac:dyDescent="0.25">
      <c r="A9" s="82"/>
      <c r="B9" s="83" t="s">
        <v>93</v>
      </c>
      <c r="C9" s="86">
        <f>IF(C7=55,'Test Fits for Pro Forma'!F9,IF(C7=45,'Test Fits for Pro Forma'!D9,'Test Fits for Pro Forma'!C9))</f>
        <v>235744.64050000001</v>
      </c>
      <c r="D9" s="85"/>
      <c r="E9" s="530"/>
    </row>
    <row r="10" spans="1:9" x14ac:dyDescent="0.25">
      <c r="A10" s="82"/>
      <c r="B10" s="575" t="s">
        <v>668</v>
      </c>
      <c r="C10" s="87">
        <v>0.75</v>
      </c>
      <c r="D10" s="85"/>
      <c r="E10" s="85"/>
      <c r="H10" s="524"/>
    </row>
    <row r="11" spans="1:9" x14ac:dyDescent="0.25">
      <c r="A11" s="82"/>
      <c r="B11" s="83" t="s">
        <v>501</v>
      </c>
      <c r="C11" s="93">
        <f>C16*C10</f>
        <v>107670</v>
      </c>
      <c r="D11" s="85"/>
      <c r="E11" s="483"/>
      <c r="H11" s="524"/>
    </row>
    <row r="12" spans="1:9" x14ac:dyDescent="0.25">
      <c r="A12" s="82"/>
      <c r="B12" s="154" t="s">
        <v>1</v>
      </c>
      <c r="C12" s="568">
        <f>C9/C4</f>
        <v>4.1953118304254664</v>
      </c>
      <c r="D12" s="89"/>
      <c r="E12" s="89"/>
      <c r="H12" s="476"/>
    </row>
    <row r="13" spans="1:9" x14ac:dyDescent="0.25">
      <c r="A13" s="82"/>
      <c r="B13" s="82"/>
      <c r="C13" s="88"/>
      <c r="D13" s="89"/>
      <c r="E13" s="89"/>
    </row>
    <row r="14" spans="1:9" x14ac:dyDescent="0.25">
      <c r="A14" s="246"/>
      <c r="B14" s="478" t="s">
        <v>662</v>
      </c>
      <c r="C14" s="103"/>
      <c r="D14" s="85"/>
      <c r="E14" s="82"/>
    </row>
    <row r="15" spans="1:9" x14ac:dyDescent="0.25">
      <c r="A15" s="83"/>
      <c r="B15" s="575" t="s">
        <v>666</v>
      </c>
      <c r="C15" s="563">
        <f>(IF(C7=55,165030,IF(C7=45,119374,103374)))</f>
        <v>165030</v>
      </c>
      <c r="D15" s="85"/>
      <c r="E15" s="613"/>
    </row>
    <row r="16" spans="1:9" x14ac:dyDescent="0.25">
      <c r="A16" s="83"/>
      <c r="B16" s="572" t="s">
        <v>652</v>
      </c>
      <c r="C16" s="573">
        <f>C15-C23</f>
        <v>143560</v>
      </c>
      <c r="D16" s="85"/>
      <c r="E16" s="574" t="s">
        <v>665</v>
      </c>
    </row>
    <row r="17" spans="1:11" s="207" customFormat="1" x14ac:dyDescent="0.25">
      <c r="A17" s="83"/>
      <c r="B17" s="83" t="s">
        <v>97</v>
      </c>
      <c r="C17" s="467">
        <f>IF(Tool!D15="Studios/1BDs",500,IF(Tool!D15="Studios/1BDs + some 2BDs",645,800))</f>
        <v>500</v>
      </c>
      <c r="D17" s="119"/>
      <c r="E17" s="564" t="s">
        <v>657</v>
      </c>
      <c r="H17" s="251"/>
      <c r="I17" s="252"/>
      <c r="J17" s="252"/>
      <c r="K17" s="252"/>
    </row>
    <row r="18" spans="1:11" x14ac:dyDescent="0.25">
      <c r="A18" s="83"/>
      <c r="B18" s="544" t="s">
        <v>664</v>
      </c>
      <c r="C18" s="181">
        <f>ROUNDDOWN(C11/C17,0)</f>
        <v>215</v>
      </c>
      <c r="D18" s="85"/>
      <c r="E18" s="483"/>
      <c r="H18" s="81"/>
      <c r="I18" s="92"/>
      <c r="J18" s="92"/>
      <c r="K18" s="92"/>
    </row>
    <row r="19" spans="1:11" x14ac:dyDescent="0.25">
      <c r="A19" s="82"/>
      <c r="B19" s="82"/>
      <c r="C19" s="86"/>
      <c r="D19" s="85"/>
      <c r="E19" s="85"/>
    </row>
    <row r="20" spans="1:11" x14ac:dyDescent="0.25">
      <c r="A20" s="246"/>
      <c r="B20" s="478" t="s">
        <v>177</v>
      </c>
      <c r="C20" s="181"/>
      <c r="D20" s="85"/>
      <c r="E20" s="85"/>
    </row>
    <row r="21" spans="1:11" s="207" customFormat="1" x14ac:dyDescent="0.25">
      <c r="A21" s="83"/>
      <c r="B21" s="83" t="s">
        <v>581</v>
      </c>
      <c r="C21" s="565">
        <v>21470</v>
      </c>
      <c r="D21" s="119"/>
      <c r="E21" s="119"/>
    </row>
    <row r="22" spans="1:11" s="207" customFormat="1" x14ac:dyDescent="0.25">
      <c r="A22" s="83"/>
      <c r="B22" s="83" t="s">
        <v>582</v>
      </c>
      <c r="C22" s="566">
        <f>IF(Tool!D12="100% Retail",100%,IF(Tool!D12="25% Retail &amp; 75% Residential",25%,0))</f>
        <v>1</v>
      </c>
      <c r="D22" s="119"/>
      <c r="E22" s="564" t="s">
        <v>657</v>
      </c>
    </row>
    <row r="23" spans="1:11" s="207" customFormat="1" x14ac:dyDescent="0.25">
      <c r="A23" s="83"/>
      <c r="B23" s="154" t="s">
        <v>208</v>
      </c>
      <c r="C23" s="569">
        <f>C21*C22</f>
        <v>21470</v>
      </c>
      <c r="D23" s="119"/>
      <c r="E23" s="119"/>
    </row>
    <row r="24" spans="1:11" x14ac:dyDescent="0.25">
      <c r="A24" s="82"/>
      <c r="B24" s="82"/>
      <c r="C24" s="86"/>
      <c r="D24" s="85"/>
      <c r="E24" s="85"/>
    </row>
    <row r="25" spans="1:11" x14ac:dyDescent="0.25">
      <c r="A25" s="246"/>
      <c r="B25" s="478" t="s">
        <v>672</v>
      </c>
      <c r="C25" s="181"/>
      <c r="D25" s="85"/>
      <c r="E25" s="85"/>
    </row>
    <row r="26" spans="1:11" x14ac:dyDescent="0.25">
      <c r="A26" s="82"/>
      <c r="B26" s="525" t="s">
        <v>648</v>
      </c>
      <c r="C26" s="82">
        <f>ROUNDUP(C18*'5. Parking'!D10,0)</f>
        <v>108</v>
      </c>
      <c r="D26" s="85"/>
      <c r="E26" s="85"/>
    </row>
    <row r="27" spans="1:11" x14ac:dyDescent="0.25">
      <c r="A27" s="82"/>
      <c r="B27" s="100" t="s">
        <v>594</v>
      </c>
      <c r="C27" s="567">
        <f>ROUNDUP(C26-(C26*'5. Parking'!D19),0)</f>
        <v>108</v>
      </c>
      <c r="D27" s="256" t="s">
        <v>707</v>
      </c>
      <c r="E27" s="85"/>
    </row>
    <row r="28" spans="1:11" x14ac:dyDescent="0.25">
      <c r="A28" s="82"/>
      <c r="C28" s="72"/>
      <c r="D28" s="85"/>
      <c r="E28" s="85"/>
    </row>
    <row r="29" spans="1:11" x14ac:dyDescent="0.25">
      <c r="A29" s="82"/>
      <c r="B29" s="159" t="s">
        <v>177</v>
      </c>
      <c r="C29" s="72"/>
      <c r="D29" s="85"/>
      <c r="E29" s="85"/>
    </row>
    <row r="30" spans="1:11" x14ac:dyDescent="0.25">
      <c r="A30" s="82"/>
      <c r="B30" s="474" t="s">
        <v>593</v>
      </c>
      <c r="C30" s="85">
        <f>ROUNDUP(IF('5. Parking'!D15=0,0,'3. Prototypes'!C23/'5. Parking'!D15),0)</f>
        <v>0</v>
      </c>
      <c r="E30" s="85"/>
    </row>
    <row r="31" spans="1:11" x14ac:dyDescent="0.25">
      <c r="A31" s="82"/>
      <c r="B31" s="475" t="s">
        <v>602</v>
      </c>
      <c r="C31" s="497">
        <f>ROUNDUP(C30-(C30*'5. Parking'!D19),0)</f>
        <v>0</v>
      </c>
      <c r="D31" s="256" t="s">
        <v>707</v>
      </c>
      <c r="E31" s="85"/>
    </row>
    <row r="32" spans="1:11" x14ac:dyDescent="0.25">
      <c r="A32" s="82"/>
      <c r="C32" s="72"/>
      <c r="D32" s="89"/>
      <c r="E32" s="89"/>
    </row>
    <row r="33" spans="1:5" x14ac:dyDescent="0.25">
      <c r="A33" s="82"/>
      <c r="B33" s="78" t="s">
        <v>663</v>
      </c>
      <c r="D33" s="89"/>
      <c r="E33" s="89"/>
    </row>
    <row r="34" spans="1:5" x14ac:dyDescent="0.25">
      <c r="B34" s="571" t="s">
        <v>87</v>
      </c>
      <c r="C34" s="570">
        <f>SUM(C27,C31)</f>
        <v>108</v>
      </c>
    </row>
    <row r="35" spans="1:5" x14ac:dyDescent="0.25">
      <c r="B35" s="545" t="s">
        <v>73</v>
      </c>
      <c r="C35" s="181">
        <f>C34*'5. Parking'!D5</f>
        <v>48600</v>
      </c>
    </row>
    <row r="36" spans="1:5" x14ac:dyDescent="0.25">
      <c r="C36" s="72"/>
    </row>
    <row r="37" spans="1:5" x14ac:dyDescent="0.25">
      <c r="A37" s="246"/>
      <c r="B37" s="478" t="s">
        <v>674</v>
      </c>
      <c r="C37" s="102"/>
    </row>
    <row r="38" spans="1:5" x14ac:dyDescent="0.25">
      <c r="B38" s="596" t="s">
        <v>180</v>
      </c>
      <c r="C38" s="597">
        <f>'MXDH-Large Test Fit'!O22</f>
        <v>34532.640500000001</v>
      </c>
      <c r="E38" s="524"/>
    </row>
    <row r="39" spans="1:5" x14ac:dyDescent="0.25">
      <c r="B39" s="97" t="s">
        <v>181</v>
      </c>
      <c r="C39" s="598">
        <f>'MXDH-Large Test Fit'!O23</f>
        <v>36182</v>
      </c>
      <c r="E39" s="524"/>
    </row>
    <row r="40" spans="1:5" x14ac:dyDescent="0.25">
      <c r="B40" s="576" t="s">
        <v>615</v>
      </c>
      <c r="C40" s="577">
        <f>SUM(C38:C39)</f>
        <v>70714.640500000009</v>
      </c>
      <c r="E40" s="546" t="s">
        <v>669</v>
      </c>
    </row>
    <row r="41" spans="1:5" x14ac:dyDescent="0.25">
      <c r="B41" s="100"/>
      <c r="C41" s="82"/>
      <c r="E41" s="546"/>
    </row>
    <row r="42" spans="1:5" x14ac:dyDescent="0.25">
      <c r="C42" s="72"/>
    </row>
    <row r="43" spans="1:5" x14ac:dyDescent="0.25">
      <c r="A43" s="246"/>
      <c r="B43" s="478" t="s">
        <v>673</v>
      </c>
      <c r="C43" s="102"/>
    </row>
    <row r="44" spans="1:5" x14ac:dyDescent="0.25">
      <c r="B44" s="575" t="s">
        <v>586</v>
      </c>
      <c r="C44" s="88" t="str">
        <f>IF(C48&gt;0,"Podium &amp; Underground","Podium")</f>
        <v>Podium</v>
      </c>
    </row>
    <row r="45" spans="1:5" x14ac:dyDescent="0.25">
      <c r="B45" s="575"/>
      <c r="C45" s="88"/>
    </row>
    <row r="46" spans="1:5" x14ac:dyDescent="0.25">
      <c r="B46" s="546" t="s">
        <v>670</v>
      </c>
    </row>
    <row r="47" spans="1:5" x14ac:dyDescent="0.25">
      <c r="B47" s="474" t="s">
        <v>89</v>
      </c>
      <c r="C47" s="477">
        <f>IF(AND(C35&gt;C40,C7=55),C38,IF(AND(C35&lt;C40,C7=55),C35,IF(AND(C35&lt;C38,C7=45),C35,IF(AND(C35&gt;C38,C7=45),C38,IF(AND(C35&lt;C38,C7=35),C35,C38)))))</f>
        <v>48600</v>
      </c>
      <c r="E47" s="533" t="s">
        <v>653</v>
      </c>
    </row>
    <row r="48" spans="1:5" x14ac:dyDescent="0.25">
      <c r="B48" s="474" t="s">
        <v>603</v>
      </c>
      <c r="C48" s="476">
        <f>C35-C47</f>
        <v>0</v>
      </c>
    </row>
    <row r="50" spans="1:5" x14ac:dyDescent="0.25">
      <c r="B50" s="546" t="s">
        <v>671</v>
      </c>
      <c r="C50" s="482"/>
    </row>
    <row r="51" spans="1:5" x14ac:dyDescent="0.25">
      <c r="B51" s="474" t="s">
        <v>89</v>
      </c>
      <c r="C51" s="482">
        <f>ROUNDUP(C47/'5. Parking'!$D$5,0)</f>
        <v>108</v>
      </c>
    </row>
    <row r="52" spans="1:5" x14ac:dyDescent="0.25">
      <c r="B52" s="97" t="s">
        <v>603</v>
      </c>
      <c r="C52" s="88">
        <f>ROUNDUP(C48/'5. Parking'!$D$5,0)</f>
        <v>0</v>
      </c>
      <c r="E52" s="476"/>
    </row>
    <row r="53" spans="1:5" x14ac:dyDescent="0.25">
      <c r="B53" s="578" t="s">
        <v>646</v>
      </c>
      <c r="C53" s="579">
        <f>SUM(C51:C52)</f>
        <v>108</v>
      </c>
      <c r="E53" s="476"/>
    </row>
    <row r="55" spans="1:5" x14ac:dyDescent="0.25">
      <c r="A55" s="246"/>
      <c r="B55" s="100" t="s">
        <v>698</v>
      </c>
      <c r="C55" s="82"/>
      <c r="E55" s="546"/>
    </row>
    <row r="56" spans="1:5" x14ac:dyDescent="0.25">
      <c r="B56" s="599" t="s">
        <v>700</v>
      </c>
      <c r="C56" s="600">
        <f>SUM('MXDH-Large Test Fit'!AC23,'MXDH-Large Test Fit'!AE23)</f>
        <v>55764</v>
      </c>
      <c r="E56" s="546"/>
    </row>
    <row r="57" spans="1:5" x14ac:dyDescent="0.25">
      <c r="B57" s="593" t="s">
        <v>701</v>
      </c>
      <c r="C57" s="592">
        <f>'MXDH-Large Test Fit'!U23</f>
        <v>40952</v>
      </c>
      <c r="E57" s="594" t="s">
        <v>697</v>
      </c>
    </row>
    <row r="58" spans="1:5" x14ac:dyDescent="0.25">
      <c r="B58" s="576" t="s">
        <v>699</v>
      </c>
      <c r="C58" s="577">
        <f>C56-C57</f>
        <v>14812</v>
      </c>
      <c r="E58" s="546"/>
    </row>
    <row r="59" spans="1:5" x14ac:dyDescent="0.25">
      <c r="B59" s="100"/>
      <c r="C59" s="582"/>
      <c r="E59" s="546"/>
    </row>
    <row r="60" spans="1:5" x14ac:dyDescent="0.25">
      <c r="A60" s="246"/>
      <c r="B60" s="527" t="s">
        <v>686</v>
      </c>
      <c r="C60" s="72"/>
      <c r="E60" s="543" t="s">
        <v>667</v>
      </c>
    </row>
    <row r="61" spans="1:5" x14ac:dyDescent="0.25">
      <c r="B61" s="580" t="s">
        <v>691</v>
      </c>
      <c r="C61" s="528">
        <f>IF(AND(C7=55,C47&gt;C38),0,IF(AND(C7=55,C47&lt;=C38),C39-C58,C38-C47-C58))</f>
        <v>0</v>
      </c>
      <c r="E61" s="601" t="s">
        <v>702</v>
      </c>
    </row>
    <row r="62" spans="1:5" x14ac:dyDescent="0.25">
      <c r="B62" s="595" t="s">
        <v>692</v>
      </c>
      <c r="C62" s="589">
        <f>IF(C61&gt;0,C61*0.75,0)</f>
        <v>0</v>
      </c>
      <c r="E62" s="543"/>
    </row>
    <row r="63" spans="1:5" x14ac:dyDescent="0.25">
      <c r="B63" s="347"/>
      <c r="C63" s="589"/>
      <c r="E63" s="543"/>
    </row>
    <row r="64" spans="1:5" x14ac:dyDescent="0.25">
      <c r="B64" s="571" t="s">
        <v>687</v>
      </c>
      <c r="C64" s="482">
        <f>ROUNDDOWN(C62/C17,0)</f>
        <v>0</v>
      </c>
      <c r="E64" s="546" t="s">
        <v>682</v>
      </c>
    </row>
    <row r="65" spans="2:5" x14ac:dyDescent="0.25">
      <c r="B65" s="571" t="s">
        <v>688</v>
      </c>
      <c r="C65" s="482">
        <f>C64*'5. Parking'!D10</f>
        <v>0</v>
      </c>
      <c r="E65" s="532" t="s">
        <v>654</v>
      </c>
    </row>
    <row r="66" spans="2:5" x14ac:dyDescent="0.25">
      <c r="B66" s="588" t="s">
        <v>689</v>
      </c>
      <c r="C66" s="534">
        <f>C65-(C65*'5. Parking'!D19)</f>
        <v>0</v>
      </c>
      <c r="D66" s="256" t="s">
        <v>707</v>
      </c>
      <c r="E66" s="85"/>
    </row>
    <row r="67" spans="2:5" x14ac:dyDescent="0.25">
      <c r="B67" s="580"/>
      <c r="C67" s="528"/>
      <c r="D67" s="119"/>
      <c r="E67" s="85"/>
    </row>
    <row r="68" spans="2:5" s="207" customFormat="1" x14ac:dyDescent="0.25">
      <c r="B68" s="590" t="s">
        <v>693</v>
      </c>
      <c r="C68" s="591">
        <f>(C64*C17)/C10</f>
        <v>0</v>
      </c>
      <c r="D68" s="119"/>
      <c r="E68" s="119"/>
    </row>
    <row r="69" spans="2:5" x14ac:dyDescent="0.25">
      <c r="B69" s="475" t="s">
        <v>690</v>
      </c>
      <c r="C69" s="488">
        <f>C66*'5. Parking'!D5</f>
        <v>0</v>
      </c>
      <c r="E69" s="476"/>
    </row>
    <row r="70" spans="2:5" x14ac:dyDescent="0.25">
      <c r="C70" s="88"/>
      <c r="D70" s="82"/>
    </row>
    <row r="71" spans="2:5" x14ac:dyDescent="0.25">
      <c r="B71" s="546" t="s">
        <v>675</v>
      </c>
    </row>
    <row r="72" spans="2:5" x14ac:dyDescent="0.25">
      <c r="B72" s="474" t="s">
        <v>89</v>
      </c>
      <c r="C72" s="477">
        <f>IF(C61&lt;C47-C58,C69,0)</f>
        <v>0</v>
      </c>
      <c r="E72" s="546" t="s">
        <v>676</v>
      </c>
    </row>
    <row r="73" spans="2:5" x14ac:dyDescent="0.25">
      <c r="B73" s="474" t="s">
        <v>603</v>
      </c>
      <c r="C73" s="477">
        <f>IF(C72=0,C48+C69,0)</f>
        <v>0</v>
      </c>
      <c r="E73" s="546" t="s">
        <v>677</v>
      </c>
    </row>
    <row r="75" spans="2:5" x14ac:dyDescent="0.25">
      <c r="B75" s="399" t="s">
        <v>678</v>
      </c>
      <c r="C75" s="523"/>
    </row>
    <row r="76" spans="2:5" x14ac:dyDescent="0.25">
      <c r="B76" s="475" t="s">
        <v>89</v>
      </c>
      <c r="C76" s="535">
        <f>IF(C72=0,C47,C72)</f>
        <v>48600</v>
      </c>
    </row>
    <row r="77" spans="2:5" x14ac:dyDescent="0.25">
      <c r="B77" s="475" t="s">
        <v>603</v>
      </c>
      <c r="C77" s="535">
        <f>IF(C73=0,C48,C73)</f>
        <v>0</v>
      </c>
    </row>
    <row r="79" spans="2:5" x14ac:dyDescent="0.25">
      <c r="B79" s="159" t="s">
        <v>679</v>
      </c>
      <c r="C79" s="523"/>
    </row>
    <row r="80" spans="2:5" x14ac:dyDescent="0.25">
      <c r="B80" s="475" t="s">
        <v>89</v>
      </c>
      <c r="C80" s="488">
        <f>ROUNDUP(C76/'5. Parking'!$D$5,0)</f>
        <v>108</v>
      </c>
    </row>
    <row r="81" spans="1:5" x14ac:dyDescent="0.25">
      <c r="B81" s="475" t="s">
        <v>603</v>
      </c>
      <c r="C81" s="488">
        <f>ROUNDUP(C77/'5. Parking'!$D$5,0)</f>
        <v>0</v>
      </c>
    </row>
    <row r="82" spans="1:5" x14ac:dyDescent="0.25">
      <c r="B82" s="475"/>
      <c r="C82" s="488"/>
    </row>
    <row r="83" spans="1:5" x14ac:dyDescent="0.25">
      <c r="B83" s="585" t="s">
        <v>680</v>
      </c>
      <c r="C83" s="577">
        <f>SUM(C80:C81)</f>
        <v>108</v>
      </c>
    </row>
    <row r="84" spans="1:5" x14ac:dyDescent="0.25">
      <c r="B84" s="581"/>
      <c r="C84" s="488"/>
    </row>
    <row r="85" spans="1:5" x14ac:dyDescent="0.25">
      <c r="A85" s="246"/>
      <c r="B85" s="478" t="s">
        <v>681</v>
      </c>
      <c r="C85" s="103"/>
    </row>
    <row r="86" spans="1:5" x14ac:dyDescent="0.25">
      <c r="B86" s="78" t="s">
        <v>647</v>
      </c>
      <c r="C86" s="582">
        <f>C18+C64</f>
        <v>215</v>
      </c>
    </row>
    <row r="87" spans="1:5" x14ac:dyDescent="0.25">
      <c r="B87" s="583" t="s">
        <v>104</v>
      </c>
      <c r="C87" s="584">
        <f>C86/C3</f>
        <v>166.66666666666666</v>
      </c>
    </row>
    <row r="89" spans="1:5" x14ac:dyDescent="0.25">
      <c r="B89" s="555" t="s">
        <v>649</v>
      </c>
      <c r="C89" s="556"/>
    </row>
    <row r="90" spans="1:5" x14ac:dyDescent="0.25">
      <c r="B90" s="557" t="s">
        <v>684</v>
      </c>
      <c r="C90" s="558">
        <f>C76</f>
        <v>48600</v>
      </c>
    </row>
    <row r="91" spans="1:5" x14ac:dyDescent="0.25">
      <c r="B91" s="557" t="s">
        <v>727</v>
      </c>
      <c r="C91" s="558">
        <f>(C86*C17)/C10</f>
        <v>143333.33333333334</v>
      </c>
    </row>
    <row r="92" spans="1:5" x14ac:dyDescent="0.25">
      <c r="B92" s="557" t="s">
        <v>177</v>
      </c>
      <c r="C92" s="558">
        <f>C23</f>
        <v>21470</v>
      </c>
      <c r="E92" s="524"/>
    </row>
    <row r="93" spans="1:5" x14ac:dyDescent="0.25">
      <c r="B93" s="559" t="s">
        <v>100</v>
      </c>
      <c r="C93" s="560">
        <f>SUM(C90:C92)</f>
        <v>213403.33333333334</v>
      </c>
      <c r="E93" s="476"/>
    </row>
    <row r="94" spans="1:5" x14ac:dyDescent="0.25">
      <c r="B94" s="586" t="s">
        <v>683</v>
      </c>
      <c r="C94" s="560" t="str">
        <f>IF(C93&lt;C95,"Good","Bad")</f>
        <v>Good</v>
      </c>
      <c r="E94" s="476"/>
    </row>
    <row r="95" spans="1:5" x14ac:dyDescent="0.25">
      <c r="B95" s="586" t="s">
        <v>650</v>
      </c>
      <c r="C95" s="587">
        <f>C9</f>
        <v>235744.64050000001</v>
      </c>
    </row>
    <row r="96" spans="1:5" x14ac:dyDescent="0.25">
      <c r="B96" s="561" t="s">
        <v>685</v>
      </c>
      <c r="C96" s="562">
        <f>C93-C95</f>
        <v>-22341.307166666666</v>
      </c>
    </row>
    <row r="97" spans="2:3" x14ac:dyDescent="0.25">
      <c r="B97" s="82"/>
      <c r="C97" s="88"/>
    </row>
    <row r="98" spans="2:3" x14ac:dyDescent="0.25">
      <c r="B98" s="82"/>
      <c r="C98" s="88"/>
    </row>
    <row r="99" spans="2:3" x14ac:dyDescent="0.25">
      <c r="B99" s="82"/>
      <c r="C99" s="88"/>
    </row>
  </sheetData>
  <sheetProtection algorithmName="SHA-512" hashValue="awptgIEt3/gNEcQLWdMCH7wV/eJtgmCcXw0zDmRrPxKxxVY8fUSN8+XVOoVPSQrMl6qLvKvvwqf8RpWU6OL1qA==" saltValue="I8pTlW73ISPLOiFW2E6hWw==" spinCount="100000" sheet="1" objects="1" scenarios="1"/>
  <pageMargins left="0.7" right="0.7" top="0.75" bottom="0.75" header="0.3" footer="0.3"/>
  <pageSetup paperSize="138" scale="6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C00000"/>
    <pageSetUpPr fitToPage="1"/>
  </sheetPr>
  <dimension ref="A1:W91"/>
  <sheetViews>
    <sheetView topLeftCell="A34" zoomScale="120" zoomScaleNormal="120" workbookViewId="0">
      <selection activeCell="X57" sqref="X57"/>
    </sheetView>
  </sheetViews>
  <sheetFormatPr defaultColWidth="9" defaultRowHeight="12.75" x14ac:dyDescent="0.25"/>
  <cols>
    <col min="1" max="1" width="1.85546875" style="59" customWidth="1"/>
    <col min="2" max="2" width="35.85546875" style="57" bestFit="1" customWidth="1"/>
    <col min="3" max="3" width="8.140625" style="57" customWidth="1"/>
    <col min="4" max="4" width="15" style="57" hidden="1" customWidth="1"/>
    <col min="5" max="5" width="15.42578125" style="57" hidden="1" customWidth="1"/>
    <col min="6" max="8" width="14.42578125" style="57" hidden="1" customWidth="1"/>
    <col min="9" max="9" width="16.140625" style="57" customWidth="1"/>
    <col min="10" max="11" width="15.42578125" style="57" hidden="1" customWidth="1"/>
    <col min="12" max="12" width="19.140625" style="57" hidden="1" customWidth="1"/>
    <col min="13" max="15" width="15.42578125" style="57" hidden="1" customWidth="1"/>
    <col min="16" max="16" width="22" style="57" hidden="1" customWidth="1"/>
    <col min="17" max="17" width="16.85546875" style="57" hidden="1" customWidth="1"/>
    <col min="18" max="18" width="16" style="57" hidden="1" customWidth="1"/>
    <col min="19" max="20" width="9" style="57"/>
    <col min="21" max="21" width="15.42578125" style="57" bestFit="1" customWidth="1"/>
    <col min="22" max="16384" width="9" style="57"/>
  </cols>
  <sheetData>
    <row r="1" spans="1:18" s="59" customFormat="1" ht="15.75" x14ac:dyDescent="0.3">
      <c r="A1" s="71" t="s">
        <v>41</v>
      </c>
      <c r="E1" s="56"/>
      <c r="F1" s="56"/>
      <c r="G1" s="56"/>
      <c r="H1" s="56"/>
      <c r="I1" s="56"/>
      <c r="J1" s="56"/>
    </row>
    <row r="2" spans="1:18" s="82" customFormat="1" ht="13.5" x14ac:dyDescent="0.25">
      <c r="A2" s="78"/>
      <c r="D2" s="745" t="s">
        <v>302</v>
      </c>
      <c r="E2" s="745"/>
      <c r="F2" s="745"/>
      <c r="G2" s="745"/>
      <c r="H2" s="746" t="s">
        <v>303</v>
      </c>
      <c r="I2" s="746"/>
      <c r="J2" s="747" t="s">
        <v>510</v>
      </c>
      <c r="K2" s="747"/>
      <c r="L2" s="747"/>
      <c r="M2" s="747"/>
      <c r="N2" s="747"/>
      <c r="O2" s="747"/>
      <c r="P2" s="747"/>
      <c r="Q2" s="748" t="s">
        <v>570</v>
      </c>
      <c r="R2" s="748"/>
    </row>
    <row r="3" spans="1:18" s="72" customFormat="1" ht="38.25" x14ac:dyDescent="0.25">
      <c r="A3" s="109"/>
      <c r="B3" s="78" t="s">
        <v>124</v>
      </c>
      <c r="C3" s="78"/>
      <c r="D3" s="338" t="s">
        <v>509</v>
      </c>
      <c r="E3" s="338" t="s">
        <v>491</v>
      </c>
      <c r="F3" s="338" t="s">
        <v>492</v>
      </c>
      <c r="G3" s="338" t="s">
        <v>493</v>
      </c>
      <c r="H3" s="339" t="s">
        <v>494</v>
      </c>
      <c r="I3" s="339" t="s">
        <v>728</v>
      </c>
      <c r="J3" s="401" t="s">
        <v>511</v>
      </c>
      <c r="K3" s="391" t="s">
        <v>454</v>
      </c>
      <c r="L3" s="401" t="s">
        <v>515</v>
      </c>
      <c r="M3" s="401" t="s">
        <v>516</v>
      </c>
      <c r="N3" s="392" t="s">
        <v>456</v>
      </c>
      <c r="O3" s="392" t="s">
        <v>458</v>
      </c>
      <c r="P3" s="402" t="s">
        <v>517</v>
      </c>
      <c r="Q3" s="244" t="str">
        <f>'Test Fits for Pro Forma'!O3</f>
        <v>3x3BD, 30 feet</v>
      </c>
      <c r="R3" s="244" t="str">
        <f>'Test Fits for Pro Forma'!P3</f>
        <v>4x2BD, 30 feet</v>
      </c>
    </row>
    <row r="4" spans="1:18" s="72" customFormat="1" ht="13.5" x14ac:dyDescent="0.25">
      <c r="A4" s="82"/>
      <c r="B4" s="174" t="str">
        <f>'Test Fits for Pro Forma'!B6</f>
        <v>Parcel Size (acres)</v>
      </c>
      <c r="C4" s="168"/>
      <c r="D4" s="305">
        <f>'Test Fits for Pro Forma'!C6</f>
        <v>1.29</v>
      </c>
      <c r="E4" s="305">
        <f>'Test Fits for Pro Forma'!D6</f>
        <v>1.29</v>
      </c>
      <c r="F4" s="305">
        <f>'Test Fits for Pro Forma'!E6</f>
        <v>1.29</v>
      </c>
      <c r="G4" s="406">
        <f>'Test Fits for Pro Forma'!F6</f>
        <v>1.29</v>
      </c>
      <c r="H4" s="305">
        <f>'Test Fits for Pro Forma'!G6</f>
        <v>1.29</v>
      </c>
      <c r="I4" s="305">
        <f>'Test Fits for Pro Forma'!H6</f>
        <v>1.29</v>
      </c>
      <c r="J4" s="305">
        <f>'Test Fits for Pro Forma'!I6</f>
        <v>0.16090449954086317</v>
      </c>
      <c r="K4" s="305">
        <f>'Test Fits for Pro Forma'!J6</f>
        <v>0.16090449954086317</v>
      </c>
      <c r="L4" s="305">
        <f>'Test Fits for Pro Forma'!J6</f>
        <v>0.16090449954086317</v>
      </c>
      <c r="M4" s="305">
        <f>'Test Fits for Pro Forma'!K6</f>
        <v>0.16090449954086317</v>
      </c>
      <c r="N4" s="406">
        <f>'Test Fits for Pro Forma'!L6</f>
        <v>0.16090449954086317</v>
      </c>
      <c r="O4" s="305">
        <f>'Test Fits for Pro Forma'!N6</f>
        <v>0.16090449954086317</v>
      </c>
      <c r="P4" s="406">
        <f>'Test Fits for Pro Forma'!M6</f>
        <v>0.16090449954086317</v>
      </c>
      <c r="Q4" s="95">
        <f>'Test Fits for Pro Forma'!O6</f>
        <v>0.13200183654729108</v>
      </c>
      <c r="R4" s="95">
        <f>'Test Fits for Pro Forma'!P6</f>
        <v>0.13200183654729108</v>
      </c>
    </row>
    <row r="5" spans="1:18" s="72" customFormat="1" ht="13.5" x14ac:dyDescent="0.25">
      <c r="A5" s="82"/>
      <c r="B5" s="174" t="str">
        <f>'Test Fits for Pro Forma'!B7</f>
        <v xml:space="preserve">Parcel Size (sf) </v>
      </c>
      <c r="C5" s="168"/>
      <c r="D5" s="175">
        <f>'Test Fits for Pro Forma'!C7</f>
        <v>56192.4</v>
      </c>
      <c r="E5" s="175">
        <f>'Test Fits for Pro Forma'!D7</f>
        <v>56192.4</v>
      </c>
      <c r="F5" s="175">
        <f>'Test Fits for Pro Forma'!E7</f>
        <v>56192.4</v>
      </c>
      <c r="G5" s="407">
        <f>'Test Fits for Pro Forma'!F7</f>
        <v>56192.4</v>
      </c>
      <c r="H5" s="175">
        <f>'Test Fits for Pro Forma'!G7</f>
        <v>56192.4</v>
      </c>
      <c r="I5" s="175">
        <f>'Test Fits for Pro Forma'!H7</f>
        <v>56192.4</v>
      </c>
      <c r="J5" s="175">
        <f>'Test Fits for Pro Forma'!I7</f>
        <v>7008.9999999999991</v>
      </c>
      <c r="K5" s="175">
        <f>'Test Fits for Pro Forma'!J7</f>
        <v>7008.9999999999991</v>
      </c>
      <c r="L5" s="175">
        <f>'Test Fits for Pro Forma'!J7</f>
        <v>7008.9999999999991</v>
      </c>
      <c r="M5" s="175">
        <f>'Test Fits for Pro Forma'!K7</f>
        <v>7008.9999999999991</v>
      </c>
      <c r="N5" s="407">
        <f>'Test Fits for Pro Forma'!L7</f>
        <v>7008.9999999999991</v>
      </c>
      <c r="O5" s="175">
        <f>'Test Fits for Pro Forma'!N7</f>
        <v>7008.9999999999991</v>
      </c>
      <c r="P5" s="175">
        <f>'Test Fits for Pro Forma'!M7</f>
        <v>7008.9999999999991</v>
      </c>
      <c r="Q5" s="86">
        <f>'Test Fits for Pro Forma'!O7</f>
        <v>5750</v>
      </c>
      <c r="R5" s="86">
        <f>'Test Fits for Pro Forma'!P7</f>
        <v>5750</v>
      </c>
    </row>
    <row r="6" spans="1:18" s="72" customFormat="1" ht="13.5" x14ac:dyDescent="0.25">
      <c r="A6" s="82"/>
      <c r="B6" s="176" t="s">
        <v>299</v>
      </c>
      <c r="C6" s="82"/>
      <c r="D6" s="177">
        <f>'Test Fits for Pro Forma'!C15+'Test Fits for Pro Forma'!C22</f>
        <v>103374</v>
      </c>
      <c r="E6" s="177">
        <f>'Test Fits for Pro Forma'!D15+'Test Fits for Pro Forma'!D22</f>
        <v>119374</v>
      </c>
      <c r="F6" s="177">
        <f>'Test Fits for Pro Forma'!E15+'Test Fits for Pro Forma'!E22</f>
        <v>124078</v>
      </c>
      <c r="G6" s="86">
        <f>'Test Fits for Pro Forma'!F15+'Test Fits for Pro Forma'!F22</f>
        <v>165030</v>
      </c>
      <c r="H6" s="177">
        <f>'Test Fits for Pro Forma'!G15+'Test Fits for Pro Forma'!G22</f>
        <v>121068</v>
      </c>
      <c r="I6" s="177">
        <f>'3. Prototypes'!C15</f>
        <v>165030</v>
      </c>
      <c r="J6" s="177">
        <f>'Test Fits for Pro Forma'!I15+'Test Fits for Pro Forma'!I22</f>
        <v>9836</v>
      </c>
      <c r="K6" s="177">
        <f>'Test Fits for Pro Forma'!J15+'Test Fits for Pro Forma'!J22</f>
        <v>13857</v>
      </c>
      <c r="L6" s="177">
        <f>'Test Fits for Pro Forma'!J15+'Test Fits for Pro Forma'!J22</f>
        <v>13857</v>
      </c>
      <c r="M6" s="177">
        <f>'Test Fits for Pro Forma'!K15+'Test Fits for Pro Forma'!K22</f>
        <v>17878</v>
      </c>
      <c r="N6" s="86">
        <f>'Test Fits for Pro Forma'!L15+'Test Fits for Pro Forma'!L22</f>
        <v>9836</v>
      </c>
      <c r="O6" s="177">
        <f>'Test Fits for Pro Forma'!N15+'Test Fits for Pro Forma'!N22</f>
        <v>17878</v>
      </c>
      <c r="P6" s="177">
        <f>'Test Fits for Pro Forma'!M15+'Test Fits for Pro Forma'!M22</f>
        <v>13857</v>
      </c>
      <c r="Q6" s="86">
        <f>'Test Fits for Pro Forma'!O9</f>
        <v>5412</v>
      </c>
      <c r="R6" s="86">
        <f>'Test Fits for Pro Forma'!P9</f>
        <v>5760</v>
      </c>
    </row>
    <row r="7" spans="1:18" s="72" customFormat="1" ht="13.5" x14ac:dyDescent="0.25">
      <c r="A7" s="82"/>
      <c r="B7" s="178" t="s">
        <v>1</v>
      </c>
      <c r="C7" s="83"/>
      <c r="D7" s="340">
        <f>'Test Fits for Pro Forma'!C12</f>
        <v>2.4625306328345418</v>
      </c>
      <c r="E7" s="340">
        <f>'Test Fits for Pro Forma'!D12</f>
        <v>2.7482347148316135</v>
      </c>
      <c r="F7" s="340">
        <f>'Test Fits for Pro Forma'!E12</f>
        <v>3.4783157833648799</v>
      </c>
      <c r="G7" s="84">
        <f>'Test Fits for Pro Forma'!F12</f>
        <v>4.2095753812363848</v>
      </c>
      <c r="H7" s="340">
        <f>'Test Fits for Pro Forma'!G12</f>
        <v>3.4540194993035964</v>
      </c>
      <c r="I7" s="340">
        <f>'3. Prototypes'!C12</f>
        <v>4.1953118304254664</v>
      </c>
      <c r="J7" s="340">
        <f>'Test Fits for Pro Forma'!I12</f>
        <v>1.9900128406334712</v>
      </c>
      <c r="K7" s="340">
        <f>'Test Fits for Pro Forma'!J12</f>
        <v>2.5637038093879299</v>
      </c>
      <c r="L7" s="340">
        <f>'Test Fits for Pro Forma'!J12</f>
        <v>2.5637038093879299</v>
      </c>
      <c r="M7" s="340">
        <f>'Test Fits for Pro Forma'!K12</f>
        <v>3.1373947781423883</v>
      </c>
      <c r="N7" s="84">
        <f>'Test Fits for Pro Forma'!L12</f>
        <v>1.9900128406334712</v>
      </c>
      <c r="O7" s="340">
        <f>'Test Fits for Pro Forma'!N12</f>
        <v>3.1373947781423883</v>
      </c>
      <c r="P7" s="340">
        <f>'Test Fits for Pro Forma'!M12</f>
        <v>2.5637038093879299</v>
      </c>
      <c r="Q7" s="95">
        <f>'Test Fits for Pro Forma'!O12</f>
        <v>0.94121739130434778</v>
      </c>
      <c r="R7" s="95">
        <f>'Test Fits for Pro Forma'!P12</f>
        <v>1.0017391304347827</v>
      </c>
    </row>
    <row r="8" spans="1:18" s="72" customFormat="1" ht="13.5" x14ac:dyDescent="0.25">
      <c r="A8" s="82"/>
      <c r="B8" s="178" t="s">
        <v>10</v>
      </c>
      <c r="C8" s="83"/>
      <c r="D8" s="340"/>
      <c r="E8" s="340"/>
      <c r="F8" s="340"/>
      <c r="G8" s="84"/>
      <c r="H8" s="340"/>
      <c r="I8" s="473">
        <f>'3. Prototypes'!C17</f>
        <v>500</v>
      </c>
      <c r="J8" s="340"/>
      <c r="K8" s="340"/>
      <c r="L8" s="340"/>
      <c r="M8" s="340"/>
      <c r="N8" s="84"/>
      <c r="O8" s="340"/>
      <c r="P8" s="340"/>
      <c r="Q8" s="95"/>
      <c r="R8" s="95"/>
    </row>
    <row r="9" spans="1:18" s="72" customFormat="1" ht="13.5" x14ac:dyDescent="0.25">
      <c r="A9" s="82"/>
      <c r="B9" s="179" t="s">
        <v>95</v>
      </c>
      <c r="C9" s="102"/>
      <c r="D9" s="180">
        <f>'Test Fits for Pro Forma'!C16</f>
        <v>95.237209302325581</v>
      </c>
      <c r="E9" s="180">
        <f>'Test Fits for Pro Forma'!D16</f>
        <v>114</v>
      </c>
      <c r="F9" s="180">
        <f>'Test Fits for Pro Forma'!E16</f>
        <v>119</v>
      </c>
      <c r="G9" s="181">
        <f>'Test Fits for Pro Forma'!F16</f>
        <v>167</v>
      </c>
      <c r="H9" s="180">
        <f>'Test Fits for Pro Forma'!G16</f>
        <v>141</v>
      </c>
      <c r="I9" s="180">
        <f>'3. Prototypes'!C86</f>
        <v>215</v>
      </c>
      <c r="J9" s="180">
        <f>'Test Fits for Pro Forma'!I16</f>
        <v>9</v>
      </c>
      <c r="K9" s="180">
        <f>'Test Fits for Pro Forma'!J16</f>
        <v>14</v>
      </c>
      <c r="L9" s="180">
        <f>'Test Fits for Pro Forma'!J16</f>
        <v>14</v>
      </c>
      <c r="M9" s="180">
        <f>'Test Fits for Pro Forma'!K16</f>
        <v>19</v>
      </c>
      <c r="N9" s="181">
        <f>'Test Fits for Pro Forma'!L16</f>
        <v>10</v>
      </c>
      <c r="O9" s="180">
        <f>'Test Fits for Pro Forma'!N16</f>
        <v>20</v>
      </c>
      <c r="P9" s="180">
        <f>'Test Fits for Pro Forma'!M16</f>
        <v>15</v>
      </c>
      <c r="Q9" s="86">
        <f>'Test Fits for Pro Forma'!O16</f>
        <v>3</v>
      </c>
      <c r="R9" s="86">
        <f>'Test Fits for Pro Forma'!P16</f>
        <v>4</v>
      </c>
    </row>
    <row r="10" spans="1:18" s="72" customFormat="1" ht="13.5" x14ac:dyDescent="0.25">
      <c r="A10" s="82"/>
      <c r="B10" s="82" t="s">
        <v>294</v>
      </c>
      <c r="C10" s="400">
        <v>0.8</v>
      </c>
      <c r="D10" s="86">
        <f t="shared" ref="D10:O10" si="0">$C$10*D9</f>
        <v>76.189767441860468</v>
      </c>
      <c r="E10" s="86">
        <f t="shared" si="0"/>
        <v>91.2</v>
      </c>
      <c r="F10" s="86">
        <f t="shared" si="0"/>
        <v>95.2</v>
      </c>
      <c r="G10" s="86">
        <f t="shared" si="0"/>
        <v>133.6</v>
      </c>
      <c r="H10" s="86">
        <f t="shared" si="0"/>
        <v>112.80000000000001</v>
      </c>
      <c r="I10" s="86">
        <f t="shared" si="0"/>
        <v>172</v>
      </c>
      <c r="J10" s="86">
        <f t="shared" si="0"/>
        <v>7.2</v>
      </c>
      <c r="K10" s="86">
        <f t="shared" si="0"/>
        <v>11.200000000000001</v>
      </c>
      <c r="L10" s="86">
        <f t="shared" si="0"/>
        <v>11.200000000000001</v>
      </c>
      <c r="M10" s="86">
        <f t="shared" si="0"/>
        <v>15.200000000000001</v>
      </c>
      <c r="N10" s="86">
        <f t="shared" si="0"/>
        <v>8</v>
      </c>
      <c r="O10" s="86">
        <f t="shared" si="0"/>
        <v>16</v>
      </c>
      <c r="P10" s="86">
        <f>$C$10*P9</f>
        <v>12</v>
      </c>
      <c r="Q10" s="255">
        <f>Q9</f>
        <v>3</v>
      </c>
      <c r="R10" s="255">
        <f>R9</f>
        <v>4</v>
      </c>
    </row>
    <row r="11" spans="1:18" s="72" customFormat="1" ht="13.5" x14ac:dyDescent="0.25">
      <c r="A11" s="82"/>
      <c r="B11" s="82" t="s">
        <v>439</v>
      </c>
      <c r="C11" s="307">
        <f>1-C10</f>
        <v>0.19999999999999996</v>
      </c>
      <c r="D11" s="86">
        <f>D9-D10</f>
        <v>19.047441860465113</v>
      </c>
      <c r="E11" s="86">
        <f>E9-E10</f>
        <v>22.799999999999997</v>
      </c>
      <c r="F11" s="86">
        <f t="shared" ref="F11:K11" si="1">F9-F10</f>
        <v>23.799999999999997</v>
      </c>
      <c r="G11" s="86">
        <f t="shared" si="1"/>
        <v>33.400000000000006</v>
      </c>
      <c r="H11" s="86">
        <f t="shared" si="1"/>
        <v>28.199999999999989</v>
      </c>
      <c r="I11" s="86">
        <f t="shared" si="1"/>
        <v>43</v>
      </c>
      <c r="J11" s="86">
        <f t="shared" si="1"/>
        <v>1.7999999999999998</v>
      </c>
      <c r="K11" s="86">
        <f t="shared" si="1"/>
        <v>2.7999999999999989</v>
      </c>
      <c r="L11" s="86">
        <f>L9-L10</f>
        <v>2.7999999999999989</v>
      </c>
      <c r="M11" s="86">
        <f t="shared" ref="M11:O11" si="2">M9-M10</f>
        <v>3.7999999999999989</v>
      </c>
      <c r="N11" s="86">
        <f t="shared" si="2"/>
        <v>2</v>
      </c>
      <c r="O11" s="86">
        <f t="shared" si="2"/>
        <v>4</v>
      </c>
      <c r="P11" s="86">
        <f>P9-P10</f>
        <v>3</v>
      </c>
      <c r="Q11" s="257"/>
      <c r="R11" s="257"/>
    </row>
    <row r="12" spans="1:18" s="72" customFormat="1" ht="13.5" x14ac:dyDescent="0.25">
      <c r="A12" s="82"/>
      <c r="B12" s="82" t="s">
        <v>300</v>
      </c>
      <c r="C12" s="82"/>
      <c r="D12" s="86">
        <f>'Test Fits for Pro Forma'!C28</f>
        <v>86.331601250000006</v>
      </c>
      <c r="E12" s="86">
        <f>'Test Fits for Pro Forma'!D28</f>
        <v>86.331601250000006</v>
      </c>
      <c r="F12" s="86">
        <f>'Test Fits for Pro Forma'!E28</f>
        <v>157.14364555555557</v>
      </c>
      <c r="G12" s="86">
        <f>'Test Fits for Pro Forma'!F28</f>
        <v>157.14364555555557</v>
      </c>
      <c r="H12" s="86">
        <f>'Test Fits for Pro Forma'!G28</f>
        <v>161</v>
      </c>
      <c r="I12" s="86">
        <f>'3. Prototypes'!C83</f>
        <v>108</v>
      </c>
      <c r="J12" s="86">
        <f>'Test Fits for Pro Forma'!I28</f>
        <v>10.28</v>
      </c>
      <c r="K12" s="86">
        <f>'Test Fits for Pro Forma'!J28</f>
        <v>10.28</v>
      </c>
      <c r="L12" s="86">
        <f>'Test Fits for Pro Forma'!N28</f>
        <v>10.28</v>
      </c>
      <c r="M12" s="86">
        <f>'Test Fits for Pro Forma'!K28</f>
        <v>10.28</v>
      </c>
      <c r="N12" s="86">
        <f>'Test Fits for Pro Forma'!L28</f>
        <v>10.28</v>
      </c>
      <c r="O12" s="86">
        <f>'Test Fits for Pro Forma'!N28</f>
        <v>10.28</v>
      </c>
      <c r="P12" s="86">
        <f>'Test Fits for Pro Forma'!M28</f>
        <v>10.28</v>
      </c>
      <c r="Q12" s="81">
        <f>'Test Fits for Pro Forma'!O28</f>
        <v>6</v>
      </c>
      <c r="R12" s="81">
        <f>'Test Fits for Pro Forma'!P28</f>
        <v>8</v>
      </c>
    </row>
    <row r="13" spans="1:18" s="72" customFormat="1" ht="13.5" x14ac:dyDescent="0.25">
      <c r="A13" s="102"/>
      <c r="B13" s="102"/>
      <c r="C13" s="102"/>
      <c r="D13" s="102"/>
      <c r="E13" s="181"/>
      <c r="F13" s="181"/>
      <c r="G13" s="181"/>
      <c r="H13" s="181"/>
      <c r="I13" s="181"/>
      <c r="J13" s="181"/>
      <c r="K13" s="181"/>
      <c r="M13" s="181"/>
      <c r="N13" s="181"/>
      <c r="O13" s="181"/>
      <c r="P13" s="181"/>
    </row>
    <row r="14" spans="1:18" s="72" customFormat="1" ht="38.25" x14ac:dyDescent="0.25">
      <c r="A14" s="168"/>
      <c r="B14" s="168"/>
      <c r="C14" s="82"/>
      <c r="D14" s="338" t="str">
        <f>D3</f>
        <v>Prototype 1a 
(45 ft height)</v>
      </c>
      <c r="E14" s="338" t="str">
        <f>E3</f>
        <v>Prototype 1
(Max FAR)</v>
      </c>
      <c r="F14" s="338" t="s">
        <v>492</v>
      </c>
      <c r="G14" s="338" t="s">
        <v>493</v>
      </c>
      <c r="H14" s="339" t="s">
        <v>494</v>
      </c>
      <c r="I14" s="339" t="str">
        <f>I3</f>
        <v>Dynamic Prototype</v>
      </c>
      <c r="J14" s="401" t="str">
        <f>J3</f>
        <v>Prototype 6
(MU, Height 35 feet)</v>
      </c>
      <c r="K14" s="391" t="s">
        <v>454</v>
      </c>
      <c r="L14" s="401" t="str">
        <f>L3</f>
        <v>Prototype 7
(MU, Height 45 feet)</v>
      </c>
      <c r="M14" s="401" t="str">
        <f>M3</f>
        <v>Prototype 8
(MU, Height 55 feet)</v>
      </c>
      <c r="N14" s="392" t="s">
        <v>456</v>
      </c>
      <c r="O14" s="392" t="s">
        <v>458</v>
      </c>
      <c r="P14" s="402" t="str">
        <f>P3</f>
        <v>Prototype 9
(Res only, Height 45 feet)</v>
      </c>
    </row>
    <row r="15" spans="1:18" s="72" customFormat="1" ht="13.5" x14ac:dyDescent="0.25">
      <c r="A15" s="109"/>
      <c r="B15" s="209" t="s">
        <v>7</v>
      </c>
      <c r="C15" s="209"/>
      <c r="D15" s="209"/>
      <c r="E15" s="210"/>
      <c r="F15" s="210"/>
      <c r="G15" s="210"/>
      <c r="H15" s="210"/>
      <c r="I15" s="210"/>
      <c r="J15" s="210"/>
      <c r="K15" s="210"/>
      <c r="L15" s="210"/>
      <c r="M15" s="210"/>
      <c r="N15" s="210"/>
      <c r="O15" s="210"/>
      <c r="P15" s="210"/>
      <c r="Q15" s="210"/>
      <c r="R15" s="210"/>
    </row>
    <row r="16" spans="1:18" s="207" customFormat="1" ht="13.5" x14ac:dyDescent="0.25">
      <c r="A16" s="83"/>
      <c r="B16" s="119" t="s">
        <v>103</v>
      </c>
      <c r="C16" s="119"/>
      <c r="D16" s="119"/>
    </row>
    <row r="17" spans="1:19" s="207" customFormat="1" ht="13.5" x14ac:dyDescent="0.25">
      <c r="A17" s="83"/>
      <c r="B17" s="119"/>
      <c r="C17" s="119"/>
      <c r="D17" s="119"/>
    </row>
    <row r="18" spans="1:19" s="72" customFormat="1" ht="13.5" x14ac:dyDescent="0.25">
      <c r="A18" s="83"/>
      <c r="B18" s="78" t="s">
        <v>98</v>
      </c>
      <c r="C18" s="78"/>
      <c r="D18" s="78"/>
      <c r="E18" s="172"/>
      <c r="F18" s="172"/>
      <c r="G18" s="172"/>
      <c r="H18" s="172"/>
      <c r="I18" s="172"/>
      <c r="J18" s="172"/>
      <c r="K18" s="172"/>
      <c r="M18" s="172"/>
      <c r="N18" s="172"/>
      <c r="O18" s="172"/>
      <c r="P18" s="172"/>
    </row>
    <row r="19" spans="1:19" s="72" customFormat="1" ht="13.5" x14ac:dyDescent="0.25">
      <c r="A19" s="82"/>
      <c r="B19" s="97" t="s">
        <v>290</v>
      </c>
      <c r="C19" s="97"/>
      <c r="D19" s="182">
        <f>'7. Revenue Assumptions'!$D$16*D10</f>
        <v>1353130.269767442</v>
      </c>
      <c r="E19" s="182">
        <f>'7. Revenue Assumptions'!$D$16*E10</f>
        <v>1619712</v>
      </c>
      <c r="F19" s="182">
        <f>'7. Revenue Assumptions'!$D$16*F10</f>
        <v>1690752</v>
      </c>
      <c r="G19" s="182">
        <f>'7. Revenue Assumptions'!$D$16*G10</f>
        <v>2372736</v>
      </c>
      <c r="H19" s="182">
        <f>'7. Revenue Assumptions'!$D$16*H10</f>
        <v>2003328.0000000002</v>
      </c>
      <c r="I19" s="182">
        <f>I10*'7. Revenue Assumptions'!D16</f>
        <v>3054720</v>
      </c>
      <c r="J19" s="182">
        <f>'7. Revenue Assumptions'!$D$16*J10</f>
        <v>127872</v>
      </c>
      <c r="K19" s="182">
        <f>'7. Revenue Assumptions'!$D$16*K10</f>
        <v>198912.00000000003</v>
      </c>
      <c r="L19" s="182">
        <f>'7. Revenue Assumptions'!$D$16*L10</f>
        <v>198912.00000000003</v>
      </c>
      <c r="M19" s="182">
        <f>'7. Revenue Assumptions'!$D$16*M10</f>
        <v>269952</v>
      </c>
      <c r="N19" s="182">
        <f>'7. Revenue Assumptions'!$D$16*N10</f>
        <v>142080</v>
      </c>
      <c r="O19" s="182">
        <f>'7. Revenue Assumptions'!$D$16*O10</f>
        <v>284160</v>
      </c>
      <c r="P19" s="182">
        <f>'7. Revenue Assumptions'!$D$16*P10</f>
        <v>213120</v>
      </c>
      <c r="Q19" s="464">
        <f>'7. Revenue Assumptions'!$D$16*Q10</f>
        <v>53280</v>
      </c>
      <c r="R19" s="464">
        <f>'7. Revenue Assumptions'!$D$16*R10</f>
        <v>71040</v>
      </c>
    </row>
    <row r="20" spans="1:19" s="72" customFormat="1" ht="13.5" x14ac:dyDescent="0.25">
      <c r="A20" s="82"/>
      <c r="B20" s="97" t="s">
        <v>291</v>
      </c>
      <c r="C20" s="97"/>
      <c r="D20" s="182">
        <f>'7. Revenue Assumptions'!$D$37*D11</f>
        <v>347173.05616744183</v>
      </c>
      <c r="E20" s="182">
        <f>'7. Revenue Assumptions'!$D$37*E11</f>
        <v>415570.01399999997</v>
      </c>
      <c r="F20" s="182">
        <f>'7. Revenue Assumptions'!$D$37*F11</f>
        <v>433796.76899999997</v>
      </c>
      <c r="G20" s="182">
        <f>'7. Revenue Assumptions'!$D$37*G11</f>
        <v>608773.61700000009</v>
      </c>
      <c r="H20" s="182">
        <f>'7. Revenue Assumptions'!$D$37*H11</f>
        <v>513994.49099999981</v>
      </c>
      <c r="I20" s="182">
        <f>'7. Revenue Assumptions'!$D$37*I11</f>
        <v>783750.46500000008</v>
      </c>
      <c r="J20" s="182">
        <f>'7. Revenue Assumptions'!$D$37*J11</f>
        <v>32808.159</v>
      </c>
      <c r="K20" s="182">
        <f>'7. Revenue Assumptions'!$D$37*K11</f>
        <v>51034.913999999982</v>
      </c>
      <c r="L20" s="182">
        <f>'7. Revenue Assumptions'!$D$37*L11</f>
        <v>51034.913999999982</v>
      </c>
      <c r="M20" s="182">
        <f>'7. Revenue Assumptions'!$D$37*M11</f>
        <v>69261.66899999998</v>
      </c>
      <c r="N20" s="182">
        <f>'7. Revenue Assumptions'!$D$37*N11</f>
        <v>36453.51</v>
      </c>
      <c r="O20" s="182">
        <f>'7. Revenue Assumptions'!$D$37*O11</f>
        <v>72907.02</v>
      </c>
      <c r="P20" s="182">
        <f>'7. Revenue Assumptions'!$D$37*P11</f>
        <v>54680.264999999999</v>
      </c>
      <c r="Q20" s="182">
        <f>'7. Revenue Assumptions'!$D$37*Q11</f>
        <v>0</v>
      </c>
      <c r="R20" s="182">
        <f>'7. Revenue Assumptions'!$D$37*R11</f>
        <v>0</v>
      </c>
    </row>
    <row r="21" spans="1:19" s="72" customFormat="1" ht="13.5" x14ac:dyDescent="0.25">
      <c r="A21" s="82"/>
      <c r="B21" s="97" t="s">
        <v>8</v>
      </c>
      <c r="C21" s="97"/>
      <c r="D21" s="182">
        <f>SUM(D19:D20)</f>
        <v>1700303.3259348839</v>
      </c>
      <c r="E21" s="182">
        <f>SUM(E19:E20)</f>
        <v>2035282.014</v>
      </c>
      <c r="F21" s="182">
        <f t="shared" ref="F21:K21" si="3">SUM(F19:F20)</f>
        <v>2124548.7689999999</v>
      </c>
      <c r="G21" s="182">
        <f t="shared" si="3"/>
        <v>2981509.6170000001</v>
      </c>
      <c r="H21" s="182">
        <f t="shared" si="3"/>
        <v>2517322.4909999999</v>
      </c>
      <c r="I21" s="182">
        <f t="shared" si="3"/>
        <v>3838470.4649999999</v>
      </c>
      <c r="J21" s="182">
        <f t="shared" si="3"/>
        <v>160680.15899999999</v>
      </c>
      <c r="K21" s="182">
        <f t="shared" si="3"/>
        <v>249946.91400000002</v>
      </c>
      <c r="L21" s="182">
        <f>SUM(L19:L20)</f>
        <v>249946.91400000002</v>
      </c>
      <c r="M21" s="182">
        <f t="shared" ref="M21:O21" si="4">SUM(M19:M20)</f>
        <v>339213.66899999999</v>
      </c>
      <c r="N21" s="182">
        <f t="shared" si="4"/>
        <v>178533.51</v>
      </c>
      <c r="O21" s="182">
        <f t="shared" si="4"/>
        <v>357067.02</v>
      </c>
      <c r="P21" s="182">
        <f>SUM(P19:P20)</f>
        <v>267800.26500000001</v>
      </c>
      <c r="Q21" s="182">
        <f t="shared" ref="Q21:R21" si="5">SUM(Q19:Q20)</f>
        <v>53280</v>
      </c>
      <c r="R21" s="182">
        <f t="shared" si="5"/>
        <v>71040</v>
      </c>
    </row>
    <row r="22" spans="1:19" s="72" customFormat="1" ht="13.5" x14ac:dyDescent="0.25">
      <c r="A22" s="82"/>
      <c r="B22" s="97" t="s">
        <v>118</v>
      </c>
      <c r="C22" s="97"/>
      <c r="D22" s="182">
        <f>D21/'7. Revenue Assumptions'!$D$17</f>
        <v>40007137.080820791</v>
      </c>
      <c r="E22" s="182">
        <f>E21/'7. Revenue Assumptions'!$D$17</f>
        <v>47888988.564705878</v>
      </c>
      <c r="F22" s="182">
        <f>F21/'7. Revenue Assumptions'!$D$17</f>
        <v>49989382.79999999</v>
      </c>
      <c r="G22" s="182">
        <f>G21/'7. Revenue Assumptions'!$D$17</f>
        <v>70153167.458823532</v>
      </c>
      <c r="H22" s="182">
        <f>H21/'7. Revenue Assumptions'!$D$17</f>
        <v>59231117.435294114</v>
      </c>
      <c r="I22" s="182">
        <f>I21/'7. Revenue Assumptions'!$D$17</f>
        <v>90316952.117647052</v>
      </c>
      <c r="J22" s="182">
        <f>J21/'7. Revenue Assumptions'!$D$17</f>
        <v>3780709.6235294109</v>
      </c>
      <c r="K22" s="182">
        <f>K21/'7. Revenue Assumptions'!$D$17</f>
        <v>5881103.8588235294</v>
      </c>
      <c r="L22" s="182">
        <f>L21/'7. Revenue Assumptions'!$D$17</f>
        <v>5881103.8588235294</v>
      </c>
      <c r="M22" s="182">
        <f>M21/'7. Revenue Assumptions'!$D$17</f>
        <v>7981498.0941176461</v>
      </c>
      <c r="N22" s="182">
        <f>N21/'7. Revenue Assumptions'!$D$17</f>
        <v>4200788.4705882352</v>
      </c>
      <c r="O22" s="182">
        <f>O21/'7. Revenue Assumptions'!$D$17</f>
        <v>8401576.9411764704</v>
      </c>
      <c r="P22" s="182">
        <f>P21/'7. Revenue Assumptions'!$D$17</f>
        <v>6301182.7058823528</v>
      </c>
      <c r="Q22" s="182">
        <f>Q21/'7. Revenue Assumptions'!$D$17</f>
        <v>1253647.0588235294</v>
      </c>
      <c r="R22" s="182">
        <f>R21/'7. Revenue Assumptions'!$D$17</f>
        <v>1671529.4117647058</v>
      </c>
    </row>
    <row r="23" spans="1:19" s="72" customFormat="1" ht="13.5" x14ac:dyDescent="0.25">
      <c r="A23" s="82"/>
      <c r="B23" s="166" t="s">
        <v>609</v>
      </c>
      <c r="C23" s="97"/>
      <c r="D23" s="182"/>
      <c r="E23" s="182"/>
      <c r="F23" s="182"/>
      <c r="G23" s="182"/>
      <c r="H23" s="182"/>
      <c r="I23" s="485">
        <f>I22/I9</f>
        <v>420078.84705882351</v>
      </c>
      <c r="J23" s="182"/>
      <c r="K23" s="182"/>
      <c r="L23" s="182"/>
      <c r="M23" s="182"/>
      <c r="N23" s="182"/>
      <c r="O23" s="182"/>
      <c r="P23" s="182"/>
      <c r="Q23" s="182"/>
      <c r="R23" s="182"/>
    </row>
    <row r="24" spans="1:19" s="72" customFormat="1" ht="13.5" x14ac:dyDescent="0.25">
      <c r="A24" s="82"/>
      <c r="B24" s="89"/>
      <c r="C24" s="89"/>
      <c r="D24" s="417"/>
      <c r="E24" s="417"/>
      <c r="F24" s="336"/>
      <c r="G24" s="336"/>
      <c r="H24" s="336"/>
      <c r="I24" s="336"/>
      <c r="J24" s="336"/>
      <c r="K24" s="336"/>
      <c r="M24" s="336"/>
      <c r="N24" s="336"/>
      <c r="O24" s="336"/>
      <c r="P24" s="336"/>
      <c r="Q24" s="336"/>
      <c r="R24" s="336"/>
    </row>
    <row r="25" spans="1:19" s="72" customFormat="1" ht="13.5" x14ac:dyDescent="0.25">
      <c r="A25" s="82"/>
      <c r="B25" s="78" t="s">
        <v>177</v>
      </c>
      <c r="C25" s="78"/>
      <c r="D25" s="78"/>
      <c r="E25" s="182"/>
      <c r="F25" s="182"/>
      <c r="G25" s="182"/>
      <c r="H25" s="182"/>
      <c r="I25" s="182"/>
      <c r="J25" s="182"/>
      <c r="K25" s="182"/>
      <c r="M25" s="182"/>
      <c r="N25" s="182"/>
      <c r="O25" s="182"/>
      <c r="P25" s="182"/>
      <c r="Q25" s="182"/>
      <c r="R25" s="182"/>
    </row>
    <row r="26" spans="1:19" s="72" customFormat="1" ht="13.5" x14ac:dyDescent="0.25">
      <c r="A26" s="82"/>
      <c r="B26" s="97" t="s">
        <v>8</v>
      </c>
      <c r="C26" s="97"/>
      <c r="D26" s="182">
        <f>'7. Revenue Assumptions'!$D$49*'Test Fits for Pro Forma'!C22</f>
        <v>458599.2</v>
      </c>
      <c r="E26" s="182">
        <f>'7. Revenue Assumptions'!$D$49*'Test Fits for Pro Forma'!D22</f>
        <v>458599.2</v>
      </c>
      <c r="F26" s="182">
        <f>'7. Revenue Assumptions'!$D$49*'Test Fits for Pro Forma'!E22</f>
        <v>458599.2</v>
      </c>
      <c r="G26" s="182">
        <f>'7. Revenue Assumptions'!$D$49*'Test Fits for Pro Forma'!F22</f>
        <v>458599.2</v>
      </c>
      <c r="H26" s="182">
        <f>'7. Revenue Assumptions'!$D$49*'Test Fits for Pro Forma'!G22</f>
        <v>0</v>
      </c>
      <c r="I26" s="182">
        <f>'7. Revenue Assumptions'!$D$49*'3. Prototypes'!C23</f>
        <v>458599.2</v>
      </c>
      <c r="J26" s="418">
        <f>'7. Revenue Assumptions'!$D$49*'Test Fits for Pro Forma'!I22</f>
        <v>18796.8</v>
      </c>
      <c r="K26" s="182">
        <f>'7. Revenue Assumptions'!$D$49*'Test Fits for Pro Forma'!J22</f>
        <v>18796.8</v>
      </c>
      <c r="L26" s="418">
        <f>'7. Revenue Assumptions'!$D$49*'Test Fits for Pro Forma'!J22</f>
        <v>18796.8</v>
      </c>
      <c r="M26" s="418">
        <f>'7. Revenue Assumptions'!$D$49*'Test Fits for Pro Forma'!K22</f>
        <v>18796.8</v>
      </c>
      <c r="N26" s="182">
        <f>'7. Revenue Assumptions'!$D$49*'Test Fits for Pro Forma'!L22</f>
        <v>0</v>
      </c>
      <c r="O26" s="182">
        <f>'7. Revenue Assumptions'!$D$49*'Test Fits for Pro Forma'!N22</f>
        <v>0</v>
      </c>
      <c r="P26" s="182">
        <f>'7. Revenue Assumptions'!$D$49*'Test Fits for Pro Forma'!M22</f>
        <v>0</v>
      </c>
      <c r="Q26" s="182">
        <f>'7. Revenue Assumptions'!$D$49*'Test Fits for Pro Forma'!N22</f>
        <v>0</v>
      </c>
      <c r="R26" s="182">
        <f>'7. Revenue Assumptions'!$D$49*'Test Fits for Pro Forma'!O22</f>
        <v>0</v>
      </c>
      <c r="S26" s="72" t="s">
        <v>635</v>
      </c>
    </row>
    <row r="27" spans="1:19" s="72" customFormat="1" ht="13.5" x14ac:dyDescent="0.25">
      <c r="A27" s="82"/>
      <c r="B27" s="97" t="s">
        <v>118</v>
      </c>
      <c r="C27" s="97"/>
      <c r="D27" s="182">
        <f>D26/'7. Revenue Assumptions'!$D$50</f>
        <v>6551417.1428571427</v>
      </c>
      <c r="E27" s="182">
        <f>E26/'7. Revenue Assumptions'!$D$50</f>
        <v>6551417.1428571427</v>
      </c>
      <c r="F27" s="182">
        <f>F26/'7. Revenue Assumptions'!$D$50</f>
        <v>6551417.1428571427</v>
      </c>
      <c r="G27" s="182">
        <f>G26/'7. Revenue Assumptions'!$D$50</f>
        <v>6551417.1428571427</v>
      </c>
      <c r="H27" s="182">
        <f>H26/'7. Revenue Assumptions'!$D$50</f>
        <v>0</v>
      </c>
      <c r="I27" s="182">
        <f>I26/'7. Revenue Assumptions'!$D$50</f>
        <v>6551417.1428571427</v>
      </c>
      <c r="J27" s="182">
        <f>J26/'7. Revenue Assumptions'!$D$50</f>
        <v>268525.71428571426</v>
      </c>
      <c r="K27" s="182">
        <f>K26/'7. Revenue Assumptions'!$D$50</f>
        <v>268525.71428571426</v>
      </c>
      <c r="L27" s="182">
        <f>L26/'7. Revenue Assumptions'!$D$50</f>
        <v>268525.71428571426</v>
      </c>
      <c r="M27" s="182">
        <f>M26/'7. Revenue Assumptions'!$D$50</f>
        <v>268525.71428571426</v>
      </c>
      <c r="N27" s="182">
        <f>N26/'7. Revenue Assumptions'!$D$50</f>
        <v>0</v>
      </c>
      <c r="O27" s="182">
        <f>O26/'7. Revenue Assumptions'!$D$50</f>
        <v>0</v>
      </c>
      <c r="P27" s="182">
        <f>P26/'7. Revenue Assumptions'!$D$50</f>
        <v>0</v>
      </c>
      <c r="Q27" s="182">
        <f>Q26/'7. Revenue Assumptions'!$D$50</f>
        <v>0</v>
      </c>
      <c r="R27" s="182">
        <f>R26/'7. Revenue Assumptions'!$D$50</f>
        <v>0</v>
      </c>
    </row>
    <row r="28" spans="1:19" s="72" customFormat="1" ht="13.5" x14ac:dyDescent="0.25">
      <c r="A28" s="82"/>
      <c r="B28" s="82"/>
      <c r="C28" s="82"/>
      <c r="D28" s="82"/>
      <c r="E28" s="88"/>
      <c r="F28" s="88"/>
      <c r="G28" s="88"/>
      <c r="H28" s="88"/>
      <c r="I28" s="88"/>
      <c r="J28" s="88"/>
      <c r="K28" s="88"/>
      <c r="M28" s="88"/>
      <c r="N28" s="88"/>
      <c r="O28" s="88"/>
      <c r="P28" s="88"/>
    </row>
    <row r="29" spans="1:19" s="72" customFormat="1" ht="13.5" x14ac:dyDescent="0.25">
      <c r="A29" s="109"/>
      <c r="B29" s="209" t="s">
        <v>83</v>
      </c>
      <c r="C29" s="209"/>
      <c r="D29" s="209"/>
      <c r="E29" s="210"/>
      <c r="F29" s="210"/>
      <c r="G29" s="210"/>
      <c r="H29" s="210"/>
      <c r="I29" s="210"/>
      <c r="J29" s="210"/>
      <c r="K29" s="210"/>
      <c r="L29" s="210"/>
      <c r="M29" s="210"/>
      <c r="N29" s="210"/>
      <c r="O29" s="210"/>
      <c r="P29" s="210"/>
      <c r="Q29" s="210"/>
      <c r="R29" s="210"/>
    </row>
    <row r="30" spans="1:19" s="72" customFormat="1" ht="13.5" x14ac:dyDescent="0.25">
      <c r="A30" s="83"/>
      <c r="B30" s="85" t="s">
        <v>103</v>
      </c>
      <c r="C30" s="85"/>
      <c r="D30" s="85"/>
      <c r="E30" s="173"/>
      <c r="F30" s="173"/>
      <c r="G30" s="173"/>
      <c r="H30" s="173"/>
      <c r="I30" s="173"/>
      <c r="J30" s="173"/>
      <c r="K30" s="173"/>
      <c r="M30" s="173"/>
      <c r="N30" s="173"/>
      <c r="O30" s="173"/>
      <c r="P30" s="173"/>
    </row>
    <row r="31" spans="1:19" s="72" customFormat="1" ht="13.5" x14ac:dyDescent="0.25">
      <c r="A31" s="82"/>
      <c r="B31" s="82"/>
      <c r="C31" s="82"/>
      <c r="D31" s="82"/>
      <c r="E31" s="88"/>
      <c r="F31" s="88"/>
      <c r="G31" s="88"/>
      <c r="H31" s="88"/>
      <c r="I31" s="88"/>
      <c r="J31" s="88"/>
      <c r="K31" s="88"/>
      <c r="M31" s="88"/>
      <c r="N31" s="88"/>
      <c r="O31" s="88"/>
      <c r="P31" s="88"/>
    </row>
    <row r="32" spans="1:19" s="72" customFormat="1" ht="13.5" x14ac:dyDescent="0.25">
      <c r="A32" s="82"/>
      <c r="B32" s="78" t="s">
        <v>486</v>
      </c>
      <c r="C32" s="78"/>
      <c r="D32" s="182">
        <f>D5*('6. Cost Assumptions'!$D$5+'6. Cost Assumptions'!$D$6)</f>
        <v>4776354</v>
      </c>
      <c r="E32" s="182">
        <f>E5*('6. Cost Assumptions'!$D$5+'6. Cost Assumptions'!$D$6)</f>
        <v>4776354</v>
      </c>
      <c r="F32" s="182">
        <f>F5*('6. Cost Assumptions'!$D$5+'6. Cost Assumptions'!$D$6)</f>
        <v>4776354</v>
      </c>
      <c r="G32" s="182">
        <f>G5*('6. Cost Assumptions'!$D$5+'6. Cost Assumptions'!$D$6)</f>
        <v>4776354</v>
      </c>
      <c r="H32" s="182">
        <f>H5*('6. Cost Assumptions'!$D$5+'6. Cost Assumptions'!$D$6)</f>
        <v>4776354</v>
      </c>
      <c r="I32" s="182">
        <f>I5*('6. Cost Assumptions'!$D$5+'6. Cost Assumptions'!$D$6)</f>
        <v>4776354</v>
      </c>
      <c r="J32" s="182">
        <f>J5*('6. Cost Assumptions'!$D$5+'6. Cost Assumptions'!$D$6)</f>
        <v>595764.99999999988</v>
      </c>
      <c r="K32" s="182">
        <f>K5*('6. Cost Assumptions'!$D$5+'6. Cost Assumptions'!$D$6)</f>
        <v>595764.99999999988</v>
      </c>
      <c r="L32" s="182">
        <f>L5*('6. Cost Assumptions'!$D$5+'6. Cost Assumptions'!$D$6)</f>
        <v>595764.99999999988</v>
      </c>
      <c r="M32" s="182">
        <f>M5*('6. Cost Assumptions'!$D$5+'6. Cost Assumptions'!$D$6)</f>
        <v>595764.99999999988</v>
      </c>
      <c r="N32" s="182">
        <f>N5*('6. Cost Assumptions'!$D$5+'6. Cost Assumptions'!$D$6)</f>
        <v>595764.99999999988</v>
      </c>
      <c r="O32" s="182">
        <f>O5*('6. Cost Assumptions'!$D$5+'6. Cost Assumptions'!$D$6)</f>
        <v>595764.99999999988</v>
      </c>
      <c r="P32" s="182">
        <f>P5*('6. Cost Assumptions'!$D$5+'6. Cost Assumptions'!$D$6)</f>
        <v>595764.99999999988</v>
      </c>
      <c r="Q32" s="182" t="e">
        <f>Q5*('6. Cost Assumptions'!#REF!+'6. Cost Assumptions'!$D$6)</f>
        <v>#REF!</v>
      </c>
      <c r="R32" s="182" t="e">
        <f>R5*('6. Cost Assumptions'!#REF!+'6. Cost Assumptions'!$D$6)</f>
        <v>#REF!</v>
      </c>
    </row>
    <row r="33" spans="1:18" s="207" customFormat="1" ht="13.5" x14ac:dyDescent="0.25">
      <c r="A33" s="83"/>
      <c r="B33" s="334" t="s">
        <v>298</v>
      </c>
      <c r="C33" s="334"/>
      <c r="D33" s="335">
        <f t="shared" ref="D33:R33" si="6">D32/D9</f>
        <v>50152.183531939831</v>
      </c>
      <c r="E33" s="335">
        <f t="shared" si="6"/>
        <v>41897.84210526316</v>
      </c>
      <c r="F33" s="335">
        <f t="shared" si="6"/>
        <v>40137.428571428572</v>
      </c>
      <c r="G33" s="335">
        <f t="shared" si="6"/>
        <v>28600.922155688622</v>
      </c>
      <c r="H33" s="335">
        <f t="shared" si="6"/>
        <v>33874.851063829788</v>
      </c>
      <c r="I33" s="335">
        <f t="shared" si="6"/>
        <v>22215.599999999999</v>
      </c>
      <c r="J33" s="335">
        <f t="shared" si="6"/>
        <v>66196.111111111095</v>
      </c>
      <c r="K33" s="335">
        <f t="shared" si="6"/>
        <v>42554.642857142848</v>
      </c>
      <c r="L33" s="335">
        <f t="shared" si="6"/>
        <v>42554.642857142848</v>
      </c>
      <c r="M33" s="335">
        <f t="shared" si="6"/>
        <v>31356.052631578943</v>
      </c>
      <c r="N33" s="335">
        <f t="shared" si="6"/>
        <v>59576.499999999985</v>
      </c>
      <c r="O33" s="335">
        <f t="shared" si="6"/>
        <v>29788.249999999993</v>
      </c>
      <c r="P33" s="335">
        <f t="shared" si="6"/>
        <v>39717.666666666657</v>
      </c>
      <c r="Q33" s="335" t="e">
        <f t="shared" si="6"/>
        <v>#REF!</v>
      </c>
      <c r="R33" s="335" t="e">
        <f t="shared" si="6"/>
        <v>#REF!</v>
      </c>
    </row>
    <row r="34" spans="1:18" s="72" customFormat="1" ht="13.5" x14ac:dyDescent="0.25">
      <c r="A34" s="82"/>
      <c r="B34" s="82"/>
      <c r="C34" s="82"/>
      <c r="D34" s="82"/>
      <c r="E34" s="182"/>
      <c r="F34" s="182"/>
      <c r="G34" s="182"/>
      <c r="H34" s="182"/>
      <c r="I34" s="182"/>
      <c r="J34" s="182"/>
      <c r="K34" s="182"/>
      <c r="M34" s="182"/>
      <c r="N34" s="182"/>
      <c r="O34" s="182"/>
      <c r="P34" s="182"/>
      <c r="Q34" s="182"/>
      <c r="R34" s="182"/>
    </row>
    <row r="35" spans="1:18" s="72" customFormat="1" ht="13.5" x14ac:dyDescent="0.25">
      <c r="A35" s="82"/>
      <c r="B35" s="186" t="s">
        <v>42</v>
      </c>
      <c r="C35" s="186"/>
      <c r="D35" s="186"/>
      <c r="E35" s="182"/>
      <c r="F35" s="182"/>
      <c r="G35" s="182"/>
      <c r="H35" s="182"/>
      <c r="I35" s="182"/>
      <c r="J35" s="182"/>
      <c r="K35" s="182"/>
      <c r="M35" s="182"/>
      <c r="N35" s="182"/>
      <c r="O35" s="182"/>
      <c r="P35" s="182"/>
      <c r="Q35" s="182"/>
      <c r="R35" s="182"/>
    </row>
    <row r="36" spans="1:18" s="72" customFormat="1" ht="13.5" x14ac:dyDescent="0.25">
      <c r="A36" s="82"/>
      <c r="B36" s="187" t="s">
        <v>487</v>
      </c>
      <c r="C36" s="187"/>
      <c r="D36" s="182">
        <f>D6*'6. Cost Assumptions'!$D$9</f>
        <v>28427850</v>
      </c>
      <c r="E36" s="182">
        <f>E6*'6. Cost Assumptions'!$D$9</f>
        <v>32827850</v>
      </c>
      <c r="F36" s="182">
        <f>F6*'6. Cost Assumptions'!$D$9</f>
        <v>34121450</v>
      </c>
      <c r="G36" s="182">
        <f>G6*'6. Cost Assumptions'!$D$9</f>
        <v>45383250</v>
      </c>
      <c r="H36" s="182">
        <f>H6*'6. Cost Assumptions'!$D$9</f>
        <v>33293700</v>
      </c>
      <c r="I36" s="182">
        <f>I6*'6. Cost Assumptions'!$D$9</f>
        <v>45383250</v>
      </c>
      <c r="J36" s="182">
        <f>J6*'6. Cost Assumptions'!$D$9</f>
        <v>2704900</v>
      </c>
      <c r="K36" s="182">
        <f>K6*'6. Cost Assumptions'!$D$9</f>
        <v>3810675</v>
      </c>
      <c r="L36" s="182">
        <f>L6*'6. Cost Assumptions'!$D$9</f>
        <v>3810675</v>
      </c>
      <c r="M36" s="182">
        <f>M6*'6. Cost Assumptions'!$D$9</f>
        <v>4916450</v>
      </c>
      <c r="N36" s="182">
        <f>N6*'6. Cost Assumptions'!$D$9</f>
        <v>2704900</v>
      </c>
      <c r="O36" s="182">
        <f>O6*'6. Cost Assumptions'!$D$9</f>
        <v>4916450</v>
      </c>
      <c r="P36" s="182">
        <f>P6*'6. Cost Assumptions'!$D$9</f>
        <v>3810675</v>
      </c>
      <c r="Q36" s="182">
        <f>Q6*'6. Cost Assumptions'!$D$9</f>
        <v>1488300</v>
      </c>
      <c r="R36" s="182">
        <f>R6*'6. Cost Assumptions'!$D$9</f>
        <v>1584000</v>
      </c>
    </row>
    <row r="37" spans="1:18" s="72" customFormat="1" ht="15.75" x14ac:dyDescent="0.4">
      <c r="A37" s="82"/>
      <c r="B37" s="500" t="s">
        <v>604</v>
      </c>
      <c r="C37" s="188"/>
      <c r="D37" s="184">
        <f>D12*'6. Cost Assumptions'!$D$10</f>
        <v>3453264.0500000003</v>
      </c>
      <c r="E37" s="184">
        <f>E12*'6. Cost Assumptions'!$D$10</f>
        <v>3453264.0500000003</v>
      </c>
      <c r="F37" s="184">
        <f>F12*'6. Cost Assumptions'!$D$10</f>
        <v>6285745.8222222226</v>
      </c>
      <c r="G37" s="184">
        <f>G12*'6. Cost Assumptions'!$D$10</f>
        <v>6285745.8222222226</v>
      </c>
      <c r="H37" s="184">
        <f>H12*'6. Cost Assumptions'!$D$10</f>
        <v>6440000</v>
      </c>
      <c r="I37" s="184">
        <f>SUM(I38,I39)</f>
        <v>4320000</v>
      </c>
      <c r="J37" s="184">
        <f>J12*'6. Cost Assumptions'!$D$10</f>
        <v>411200</v>
      </c>
      <c r="K37" s="184">
        <f>K12*'6. Cost Assumptions'!$D$10</f>
        <v>411200</v>
      </c>
      <c r="L37" s="184">
        <f>L12*'6. Cost Assumptions'!$D$10</f>
        <v>411200</v>
      </c>
      <c r="M37" s="184">
        <f>M12*'6. Cost Assumptions'!$D$10</f>
        <v>411200</v>
      </c>
      <c r="N37" s="184">
        <f>N12*'6. Cost Assumptions'!$D$10</f>
        <v>411200</v>
      </c>
      <c r="O37" s="184">
        <f>O12*'6. Cost Assumptions'!$D$10</f>
        <v>411200</v>
      </c>
      <c r="P37" s="184">
        <f>P12*'6. Cost Assumptions'!$D$10</f>
        <v>411200</v>
      </c>
      <c r="Q37" s="184">
        <f>Q12*'6. Cost Assumptions'!$D$10</f>
        <v>240000</v>
      </c>
      <c r="R37" s="184">
        <f>R12*'6. Cost Assumptions'!$D$10</f>
        <v>320000</v>
      </c>
    </row>
    <row r="38" spans="1:18" s="72" customFormat="1" ht="15.75" x14ac:dyDescent="0.4">
      <c r="A38" s="82"/>
      <c r="B38" s="501" t="s">
        <v>605</v>
      </c>
      <c r="C38" s="502"/>
      <c r="D38" s="503"/>
      <c r="E38" s="503"/>
      <c r="F38" s="503"/>
      <c r="G38" s="503"/>
      <c r="H38" s="503"/>
      <c r="I38" s="504">
        <f>'3. Prototypes'!C80*'6. Cost Assumptions'!D10</f>
        <v>4320000</v>
      </c>
      <c r="J38" s="184"/>
      <c r="K38" s="184"/>
      <c r="L38" s="184"/>
      <c r="M38" s="184"/>
      <c r="N38" s="184"/>
      <c r="O38" s="184"/>
      <c r="P38" s="184"/>
      <c r="Q38" s="184"/>
      <c r="R38" s="184"/>
    </row>
    <row r="39" spans="1:18" s="72" customFormat="1" ht="15.75" x14ac:dyDescent="0.4">
      <c r="A39" s="82"/>
      <c r="B39" s="501" t="s">
        <v>606</v>
      </c>
      <c r="C39" s="502"/>
      <c r="D39" s="503"/>
      <c r="E39" s="503"/>
      <c r="F39" s="503"/>
      <c r="G39" s="503"/>
      <c r="H39" s="503"/>
      <c r="I39" s="504">
        <f>IF('3. Prototypes'!C81*'6. Cost Assumptions'!D11&gt;0,'3. Prototypes'!C81*'6. Cost Assumptions'!D11,IF('3. Prototypes'!C81*'6. Cost Assumptions'!D11&lt;0,0,0))</f>
        <v>0</v>
      </c>
      <c r="J39" s="184"/>
      <c r="K39" s="184"/>
      <c r="L39" s="184"/>
      <c r="M39" s="184"/>
      <c r="N39" s="184"/>
      <c r="O39" s="184"/>
      <c r="P39" s="184"/>
      <c r="Q39" s="184"/>
      <c r="R39" s="184"/>
    </row>
    <row r="40" spans="1:18" s="72" customFormat="1" ht="13.5" x14ac:dyDescent="0.25">
      <c r="A40" s="82"/>
      <c r="B40" s="189" t="s">
        <v>43</v>
      </c>
      <c r="C40" s="189"/>
      <c r="D40" s="185">
        <f t="shared" ref="D40:I40" si="7">SUM(D36:D37)</f>
        <v>31881114.050000001</v>
      </c>
      <c r="E40" s="185">
        <f t="shared" si="7"/>
        <v>36281114.049999997</v>
      </c>
      <c r="F40" s="185">
        <f t="shared" si="7"/>
        <v>40407195.822222225</v>
      </c>
      <c r="G40" s="185">
        <f t="shared" si="7"/>
        <v>51668995.822222225</v>
      </c>
      <c r="H40" s="185">
        <f t="shared" si="7"/>
        <v>39733700</v>
      </c>
      <c r="I40" s="185">
        <f t="shared" si="7"/>
        <v>49703250</v>
      </c>
      <c r="J40" s="185">
        <f t="shared" ref="J40:O40" si="8">SUM(J36:J37)</f>
        <v>3116100</v>
      </c>
      <c r="K40" s="185">
        <f t="shared" si="8"/>
        <v>4221875</v>
      </c>
      <c r="L40" s="185">
        <f t="shared" si="8"/>
        <v>4221875</v>
      </c>
      <c r="M40" s="185">
        <f t="shared" si="8"/>
        <v>5327650</v>
      </c>
      <c r="N40" s="185">
        <f t="shared" si="8"/>
        <v>3116100</v>
      </c>
      <c r="O40" s="185">
        <f t="shared" si="8"/>
        <v>5327650</v>
      </c>
      <c r="P40" s="185">
        <f>SUM(P36:P37)</f>
        <v>4221875</v>
      </c>
      <c r="Q40" s="185">
        <f t="shared" ref="Q40:R40" si="9">SUM(Q36:Q37)</f>
        <v>1728300</v>
      </c>
      <c r="R40" s="185">
        <f t="shared" si="9"/>
        <v>1904000</v>
      </c>
    </row>
    <row r="41" spans="1:18" s="72" customFormat="1" ht="13.5" x14ac:dyDescent="0.25">
      <c r="A41" s="82"/>
      <c r="B41" s="190" t="s">
        <v>115</v>
      </c>
      <c r="C41" s="190"/>
      <c r="D41" s="335">
        <f>D40/'Test Fits for Pro Forma'!C19</f>
        <v>518.99970778797945</v>
      </c>
      <c r="E41" s="335">
        <f>E40/'Test Fits for Pro Forma'!D19</f>
        <v>493.41920372637014</v>
      </c>
      <c r="F41" s="335">
        <f>F40/'Test Fits for Pro Forma'!E19</f>
        <v>526.44382544749169</v>
      </c>
      <c r="G41" s="335">
        <f>G40/'Test Fits for Pro Forma'!F19</f>
        <v>479.68245668868985</v>
      </c>
      <c r="H41" s="335">
        <f>H40/'Test Fits for Pro Forma'!G19</f>
        <v>436.89812524052996</v>
      </c>
      <c r="I41" s="335">
        <f>I40/'Test Fits for Pro Forma'!H19</f>
        <v>409.88990598713508</v>
      </c>
      <c r="J41" s="335">
        <f>J40/'Test Fits for Pro Forma'!I19</f>
        <v>536.79586563307498</v>
      </c>
      <c r="K41" s="335">
        <f>K40/'Test Fits for Pro Forma'!J19</f>
        <v>467.53875968992247</v>
      </c>
      <c r="L41" s="335">
        <f>L40/'Test Fits for Pro Forma'!N19</f>
        <v>327.27713178294573</v>
      </c>
      <c r="M41" s="335">
        <f>M40/'Test Fits for Pro Forma'!K19</f>
        <v>434.73276213790291</v>
      </c>
      <c r="N41" s="335"/>
      <c r="O41" s="335"/>
      <c r="P41" s="335">
        <f>P40/'Test Fits for Pro Forma'!M19</f>
        <v>436.36950904392762</v>
      </c>
      <c r="Q41" s="335">
        <f>Q40/'Test Fits for Pro Forma'!N19</f>
        <v>133.97674418604652</v>
      </c>
      <c r="R41" s="335">
        <f>R40/'Test Fits for Pro Forma'!O19</f>
        <v>458.9057604241986</v>
      </c>
    </row>
    <row r="42" spans="1:18" s="72" customFormat="1" ht="13.5" x14ac:dyDescent="0.25">
      <c r="A42" s="82"/>
      <c r="B42" s="186" t="s">
        <v>44</v>
      </c>
      <c r="C42" s="186"/>
      <c r="D42" s="186"/>
      <c r="E42" s="182"/>
      <c r="F42" s="182"/>
      <c r="G42" s="182"/>
      <c r="H42" s="182"/>
      <c r="I42" s="182"/>
      <c r="J42" s="182"/>
      <c r="K42" s="182"/>
      <c r="L42" s="182"/>
      <c r="M42" s="182"/>
      <c r="N42" s="182"/>
      <c r="O42" s="182"/>
      <c r="P42" s="182"/>
      <c r="Q42" s="182"/>
      <c r="R42" s="182"/>
    </row>
    <row r="43" spans="1:18" s="72" customFormat="1" ht="13.5" x14ac:dyDescent="0.25">
      <c r="A43" s="82"/>
      <c r="B43" s="187" t="s">
        <v>28</v>
      </c>
      <c r="C43" s="187"/>
      <c r="D43" s="182">
        <f>'6. Cost Assumptions'!$D14*D$40</f>
        <v>1912866.8429999999</v>
      </c>
      <c r="E43" s="182">
        <f>'6. Cost Assumptions'!$D14*E$40</f>
        <v>2176866.8429999999</v>
      </c>
      <c r="F43" s="182">
        <f>'6. Cost Assumptions'!$D14*F$40</f>
        <v>2424431.7493333332</v>
      </c>
      <c r="G43" s="182">
        <f>'6. Cost Assumptions'!$D14*G$40</f>
        <v>3100139.7493333332</v>
      </c>
      <c r="H43" s="182">
        <f>'6. Cost Assumptions'!$D14*H$40</f>
        <v>2384022</v>
      </c>
      <c r="I43" s="182">
        <f>'6. Cost Assumptions'!$D14*I$40</f>
        <v>2982195</v>
      </c>
      <c r="J43" s="182">
        <f>'6. Cost Assumptions'!$D14*J$40</f>
        <v>186966</v>
      </c>
      <c r="K43" s="182">
        <f>'6. Cost Assumptions'!$D14*K$40</f>
        <v>253312.5</v>
      </c>
      <c r="L43" s="182">
        <f>'6. Cost Assumptions'!$D14*L$40</f>
        <v>253312.5</v>
      </c>
      <c r="M43" s="182">
        <f>'6. Cost Assumptions'!$D14*M$40</f>
        <v>319659</v>
      </c>
      <c r="N43" s="182">
        <f>'6. Cost Assumptions'!$D14*N$40</f>
        <v>186966</v>
      </c>
      <c r="O43" s="182">
        <f>'6. Cost Assumptions'!$D14*O$40</f>
        <v>319659</v>
      </c>
      <c r="P43" s="182">
        <f>'6. Cost Assumptions'!$D14*P$40</f>
        <v>253312.5</v>
      </c>
      <c r="Q43" s="182">
        <f>'6. Cost Assumptions'!$D14*Q$40</f>
        <v>103698</v>
      </c>
      <c r="R43" s="182">
        <f>'6. Cost Assumptions'!$D14*R$40</f>
        <v>114240</v>
      </c>
    </row>
    <row r="44" spans="1:18" s="72" customFormat="1" ht="13.5" x14ac:dyDescent="0.25">
      <c r="A44" s="82"/>
      <c r="B44" s="187" t="s">
        <v>29</v>
      </c>
      <c r="C44" s="187"/>
      <c r="D44" s="182">
        <f>'6. Cost Assumptions'!$D15*D$40</f>
        <v>956433.42149999994</v>
      </c>
      <c r="E44" s="182">
        <f>'6. Cost Assumptions'!$D15*E$40</f>
        <v>1088433.4214999999</v>
      </c>
      <c r="F44" s="182">
        <f>'6. Cost Assumptions'!$D15*F$40</f>
        <v>1212215.8746666666</v>
      </c>
      <c r="G44" s="182">
        <f>'6. Cost Assumptions'!$D15*G$40</f>
        <v>1550069.8746666666</v>
      </c>
      <c r="H44" s="182">
        <f>'6. Cost Assumptions'!$D15*H$40</f>
        <v>1192011</v>
      </c>
      <c r="I44" s="182">
        <f>'6. Cost Assumptions'!$D15*I$40</f>
        <v>1491097.5</v>
      </c>
      <c r="J44" s="182">
        <f>'6. Cost Assumptions'!$D15*J$40</f>
        <v>93483</v>
      </c>
      <c r="K44" s="182">
        <f>'6. Cost Assumptions'!$D15*K$40</f>
        <v>126656.25</v>
      </c>
      <c r="L44" s="182">
        <f>'6. Cost Assumptions'!$D15*L$40</f>
        <v>126656.25</v>
      </c>
      <c r="M44" s="182">
        <f>'6. Cost Assumptions'!$D15*M$40</f>
        <v>159829.5</v>
      </c>
      <c r="N44" s="182">
        <f>'6. Cost Assumptions'!$D15*N$40</f>
        <v>93483</v>
      </c>
      <c r="O44" s="182">
        <f>'6. Cost Assumptions'!$D15*O$40</f>
        <v>159829.5</v>
      </c>
      <c r="P44" s="182">
        <f>'6. Cost Assumptions'!$D15*P$40</f>
        <v>126656.25</v>
      </c>
      <c r="Q44" s="182">
        <f>'6. Cost Assumptions'!$D15*Q$40</f>
        <v>51849</v>
      </c>
      <c r="R44" s="182">
        <f>'6. Cost Assumptions'!$D15*R$40</f>
        <v>57120</v>
      </c>
    </row>
    <row r="45" spans="1:18" s="72" customFormat="1" ht="15.75" x14ac:dyDescent="0.4">
      <c r="A45" s="82"/>
      <c r="B45" s="191" t="s">
        <v>30</v>
      </c>
      <c r="C45" s="191"/>
      <c r="D45" s="184">
        <f>'6. Cost Assumptions'!$D16*D$40</f>
        <v>1594055.7025000001</v>
      </c>
      <c r="E45" s="184">
        <f>'6. Cost Assumptions'!$D16*E$40</f>
        <v>1814055.7024999999</v>
      </c>
      <c r="F45" s="184">
        <f>'6. Cost Assumptions'!$D16*F$40</f>
        <v>2020359.7911111114</v>
      </c>
      <c r="G45" s="184">
        <f>'6. Cost Assumptions'!$D16*G$40</f>
        <v>2583449.7911111116</v>
      </c>
      <c r="H45" s="184">
        <f>'6. Cost Assumptions'!$D16*H$40</f>
        <v>1986685</v>
      </c>
      <c r="I45" s="184">
        <f>'6. Cost Assumptions'!$D16*I$40</f>
        <v>2485162.5</v>
      </c>
      <c r="J45" s="184">
        <f>'6. Cost Assumptions'!$D16*J$40</f>
        <v>155805</v>
      </c>
      <c r="K45" s="184">
        <f>'6. Cost Assumptions'!$D16*K$40</f>
        <v>211093.75</v>
      </c>
      <c r="L45" s="184">
        <f>'6. Cost Assumptions'!$D16*L$40</f>
        <v>211093.75</v>
      </c>
      <c r="M45" s="184">
        <f>'6. Cost Assumptions'!$D16*M$40</f>
        <v>266382.5</v>
      </c>
      <c r="N45" s="184">
        <f>'6. Cost Assumptions'!$D16*N$40</f>
        <v>155805</v>
      </c>
      <c r="O45" s="184">
        <f>'6. Cost Assumptions'!$D16*O$40</f>
        <v>266382.5</v>
      </c>
      <c r="P45" s="184">
        <f>'6. Cost Assumptions'!$D16*P$40</f>
        <v>211093.75</v>
      </c>
      <c r="Q45" s="184">
        <f>'6. Cost Assumptions'!$D16*Q$40</f>
        <v>86415</v>
      </c>
      <c r="R45" s="184">
        <f>'6. Cost Assumptions'!$D16*R$40</f>
        <v>95200</v>
      </c>
    </row>
    <row r="46" spans="1:18" s="72" customFormat="1" ht="13.5" x14ac:dyDescent="0.25">
      <c r="A46" s="82"/>
      <c r="B46" s="124" t="s">
        <v>25</v>
      </c>
      <c r="C46" s="124"/>
      <c r="D46" s="182">
        <f>'6. Cost Assumptions'!$D$17*D40</f>
        <v>4463355.9670000002</v>
      </c>
      <c r="E46" s="182">
        <f>'6. Cost Assumptions'!$D$17*E40</f>
        <v>5079355.9670000002</v>
      </c>
      <c r="F46" s="182">
        <f>'6. Cost Assumptions'!$D$17*F40</f>
        <v>5657007.4151111124</v>
      </c>
      <c r="G46" s="182">
        <f>'6. Cost Assumptions'!$D$17*G40</f>
        <v>7233659.4151111124</v>
      </c>
      <c r="H46" s="182">
        <f>'6. Cost Assumptions'!$D$17*H40</f>
        <v>5562718.0000000009</v>
      </c>
      <c r="I46" s="182">
        <f>'6. Cost Assumptions'!$D$17*I40</f>
        <v>6958455.0000000009</v>
      </c>
      <c r="J46" s="182">
        <f>'6. Cost Assumptions'!$D$17*J40</f>
        <v>436254.00000000006</v>
      </c>
      <c r="K46" s="182">
        <f>'6. Cost Assumptions'!$D$17*K40</f>
        <v>591062.5</v>
      </c>
      <c r="L46" s="182">
        <f>'6. Cost Assumptions'!$D$17*L40</f>
        <v>591062.5</v>
      </c>
      <c r="M46" s="182">
        <f>'6. Cost Assumptions'!$D$17*M40</f>
        <v>745871.00000000012</v>
      </c>
      <c r="N46" s="182">
        <f>'6. Cost Assumptions'!$D$17*N40</f>
        <v>436254.00000000006</v>
      </c>
      <c r="O46" s="182">
        <f>'6. Cost Assumptions'!$D$17*O40</f>
        <v>745871.00000000012</v>
      </c>
      <c r="P46" s="182">
        <f>'6. Cost Assumptions'!$D$17*P40</f>
        <v>591062.5</v>
      </c>
      <c r="Q46" s="182">
        <f>'6. Cost Assumptions'!$D$17*Q40</f>
        <v>241962.00000000003</v>
      </c>
      <c r="R46" s="182">
        <f>'6. Cost Assumptions'!$D$17*R40</f>
        <v>266560</v>
      </c>
    </row>
    <row r="47" spans="1:18" s="72" customFormat="1" ht="13.5" x14ac:dyDescent="0.25">
      <c r="A47" s="82"/>
      <c r="B47" s="192" t="s">
        <v>32</v>
      </c>
      <c r="C47" s="192"/>
      <c r="D47" s="193">
        <f>'6. Cost Assumptions'!$D$34*D9</f>
        <v>2857116.2790697673</v>
      </c>
      <c r="E47" s="193">
        <f>'6. Cost Assumptions'!$D$34*E9</f>
        <v>3420000</v>
      </c>
      <c r="F47" s="193">
        <f>'6. Cost Assumptions'!$D$34*F9</f>
        <v>3570000</v>
      </c>
      <c r="G47" s="193">
        <f>'6. Cost Assumptions'!$D$34*G9</f>
        <v>5010000</v>
      </c>
      <c r="H47" s="193">
        <f>'6. Cost Assumptions'!$D$34*H9</f>
        <v>4230000</v>
      </c>
      <c r="I47" s="193">
        <f>'6. Cost Assumptions'!$D$34*I9</f>
        <v>6450000</v>
      </c>
      <c r="J47" s="193">
        <f>'6. Cost Assumptions'!$D$34*J9</f>
        <v>270000</v>
      </c>
      <c r="K47" s="193">
        <f>'6. Cost Assumptions'!$D$34*K9</f>
        <v>420000</v>
      </c>
      <c r="L47" s="193">
        <f>'6. Cost Assumptions'!$D$34*L9</f>
        <v>420000</v>
      </c>
      <c r="M47" s="193">
        <f>'6. Cost Assumptions'!$D$34*M9</f>
        <v>570000</v>
      </c>
      <c r="N47" s="193">
        <f>'6. Cost Assumptions'!$D$34*N9</f>
        <v>300000</v>
      </c>
      <c r="O47" s="193">
        <f>'6. Cost Assumptions'!$D$34*O9</f>
        <v>600000</v>
      </c>
      <c r="P47" s="193">
        <f>'6. Cost Assumptions'!$D$34*P9</f>
        <v>450000</v>
      </c>
      <c r="Q47" s="193">
        <f>'6. Cost Assumptions'!$D$34*Q9</f>
        <v>90000</v>
      </c>
      <c r="R47" s="193">
        <f>'6. Cost Assumptions'!$D$34*R9</f>
        <v>120000</v>
      </c>
    </row>
    <row r="48" spans="1:18" s="72" customFormat="1" ht="15.75" x14ac:dyDescent="0.4">
      <c r="A48" s="82"/>
      <c r="B48" s="188" t="s">
        <v>24</v>
      </c>
      <c r="C48" s="188"/>
      <c r="D48" s="184">
        <f>SUM(D32,D40,D46:D47)*SUM('6. Cost Assumptions'!$D$29:$D$30)</f>
        <v>1582930.9885316612</v>
      </c>
      <c r="E48" s="184">
        <f>SUM(E32,E40,E46:E47)*SUM('6. Cost Assumptions'!$D$29:$D$30)</f>
        <v>1783735.934461894</v>
      </c>
      <c r="F48" s="212">
        <f>SUM(F32,F40,F46:F47)*SUM('6. Cost Assumptions'!$D$29:$D$30)</f>
        <v>1958439.9945612671</v>
      </c>
      <c r="G48" s="212">
        <f>SUM(G32,G40,G46:G47)*SUM('6. Cost Assumptions'!$D$29:$D$30)</f>
        <v>2472375.0262362668</v>
      </c>
      <c r="H48" s="212">
        <f>SUM(H32,H40,H46:H47)*SUM('6. Cost Assumptions'!$D$29:$D$30)</f>
        <v>1954560.3996750002</v>
      </c>
      <c r="I48" s="212">
        <f>SUM(I32,I40,I46:I47)*SUM('6. Cost Assumptions'!$D$29:$D$30)</f>
        <v>2443545.8236312503</v>
      </c>
      <c r="J48" s="212">
        <f>SUM(J32,J40,J46:J47)*SUM('6. Cost Assumptions'!$D$29:$D$30)</f>
        <v>159024.67075625001</v>
      </c>
      <c r="K48" s="212">
        <f>SUM(K32,K40,K46:K47)*SUM('6. Cost Assumptions'!$D$29:$D$30)</f>
        <v>209796.86060937503</v>
      </c>
      <c r="L48" s="212">
        <f>SUM(L32,L40,L46:L47)*SUM('6. Cost Assumptions'!$D$29:$D$30)</f>
        <v>209796.86060937503</v>
      </c>
      <c r="M48" s="212">
        <f>SUM(M32,M40,M46:M47)*SUM('6. Cost Assumptions'!$D$29:$D$30)</f>
        <v>260569.05046250005</v>
      </c>
      <c r="N48" s="212">
        <f>SUM(N32,N40,N46:N47)*SUM('6. Cost Assumptions'!$D$29:$D$30)</f>
        <v>160104.48325625001</v>
      </c>
      <c r="O48" s="212">
        <f>SUM(O32,O40,O46:O47)*SUM('6. Cost Assumptions'!$D$29:$D$30)</f>
        <v>261648.86296250005</v>
      </c>
      <c r="P48" s="212">
        <f>SUM(P32,P40,P46:P47)*SUM('6. Cost Assumptions'!$D$29:$D$30)</f>
        <v>210876.67310937503</v>
      </c>
      <c r="Q48" s="212" t="e">
        <f>SUM(Q32,Q40,Q46:Q47)*SUM('6. Cost Assumptions'!$D$29:$D$30)</f>
        <v>#REF!</v>
      </c>
      <c r="R48" s="212" t="e">
        <f>SUM(R32,R40,R46:R47)*SUM('6. Cost Assumptions'!$D$29:$D$30)</f>
        <v>#REF!</v>
      </c>
    </row>
    <row r="49" spans="1:21" s="72" customFormat="1" ht="13.5" x14ac:dyDescent="0.25">
      <c r="A49" s="82"/>
      <c r="B49" s="194" t="s">
        <v>45</v>
      </c>
      <c r="C49" s="194"/>
      <c r="D49" s="185">
        <f>SUM(D46:D48)</f>
        <v>8903403.2346014287</v>
      </c>
      <c r="E49" s="185">
        <f>SUM(E46:E48)</f>
        <v>10283091.901461894</v>
      </c>
      <c r="F49" s="185">
        <f t="shared" ref="F49:K49" si="10">SUM(F46:F48)</f>
        <v>11185447.409672379</v>
      </c>
      <c r="G49" s="185">
        <f t="shared" si="10"/>
        <v>14716034.441347379</v>
      </c>
      <c r="H49" s="185">
        <f t="shared" si="10"/>
        <v>11747278.399675</v>
      </c>
      <c r="I49" s="185">
        <f t="shared" si="10"/>
        <v>15852000.823631249</v>
      </c>
      <c r="J49" s="185">
        <f t="shared" si="10"/>
        <v>865278.67075625004</v>
      </c>
      <c r="K49" s="185">
        <f t="shared" si="10"/>
        <v>1220859.3606093749</v>
      </c>
      <c r="L49" s="185">
        <f>SUM(L46:L48)</f>
        <v>1220859.3606093749</v>
      </c>
      <c r="M49" s="185">
        <f t="shared" ref="M49:O49" si="11">SUM(M46:M48)</f>
        <v>1576440.0504625</v>
      </c>
      <c r="N49" s="185">
        <f t="shared" si="11"/>
        <v>896358.48325625004</v>
      </c>
      <c r="O49" s="185">
        <f t="shared" si="11"/>
        <v>1607519.8629625</v>
      </c>
      <c r="P49" s="185">
        <f>SUM(P46:P48)</f>
        <v>1251939.1731093749</v>
      </c>
      <c r="Q49" s="185" t="e">
        <f t="shared" ref="Q49:R49" si="12">SUM(Q46:Q48)</f>
        <v>#REF!</v>
      </c>
      <c r="R49" s="185" t="e">
        <f t="shared" si="12"/>
        <v>#REF!</v>
      </c>
    </row>
    <row r="50" spans="1:21" s="72" customFormat="1" ht="13.5" x14ac:dyDescent="0.25">
      <c r="A50" s="82"/>
      <c r="B50" s="78"/>
      <c r="C50" s="78"/>
      <c r="D50" s="195"/>
      <c r="E50" s="195"/>
      <c r="F50" s="195"/>
      <c r="G50" s="195"/>
      <c r="H50" s="195"/>
      <c r="I50" s="195"/>
      <c r="J50" s="195"/>
      <c r="K50" s="195"/>
      <c r="L50" s="195"/>
      <c r="M50" s="195"/>
      <c r="N50" s="195"/>
      <c r="O50" s="195"/>
      <c r="P50" s="195"/>
      <c r="Q50" s="195"/>
      <c r="R50" s="195"/>
    </row>
    <row r="51" spans="1:21" s="72" customFormat="1" ht="15.75" x14ac:dyDescent="0.4">
      <c r="A51" s="82"/>
      <c r="B51" s="196" t="s">
        <v>31</v>
      </c>
      <c r="C51" s="196"/>
      <c r="D51" s="197">
        <f>'6. Cost Assumptions'!$D$19*('4. Pro Forma'!D40+D49)</f>
        <v>2039225.8642300714</v>
      </c>
      <c r="E51" s="197">
        <f>'6. Cost Assumptions'!$D$19*('4. Pro Forma'!E40+E49)</f>
        <v>2328210.2975730947</v>
      </c>
      <c r="F51" s="197">
        <f>'6. Cost Assumptions'!$D$19*('4. Pro Forma'!F40+F49)</f>
        <v>2579632.1615947303</v>
      </c>
      <c r="G51" s="197">
        <f>'6. Cost Assumptions'!$D$19*('4. Pro Forma'!G40+G49)</f>
        <v>3319251.5131784808</v>
      </c>
      <c r="H51" s="197">
        <f>'6. Cost Assumptions'!$D$19*('4. Pro Forma'!H40+H49)</f>
        <v>2574048.9199837502</v>
      </c>
      <c r="I51" s="197">
        <f>'6. Cost Assumptions'!$D$19*('4. Pro Forma'!I40+I49)</f>
        <v>3277762.5411815625</v>
      </c>
      <c r="J51" s="197">
        <f>'6. Cost Assumptions'!$D$19*('4. Pro Forma'!J40+J49)</f>
        <v>199068.93353781253</v>
      </c>
      <c r="K51" s="197">
        <f>'6. Cost Assumptions'!$D$19*('4. Pro Forma'!K40)</f>
        <v>211093.75</v>
      </c>
      <c r="L51" s="197">
        <f>'6. Cost Assumptions'!$D$19*('4. Pro Forma'!L40+L49)</f>
        <v>272136.71803046874</v>
      </c>
      <c r="M51" s="197">
        <f>'6. Cost Assumptions'!$D$19*('4. Pro Forma'!M40+M49)</f>
        <v>345204.50252312503</v>
      </c>
      <c r="N51" s="197">
        <f>'6. Cost Assumptions'!$D$19*('4. Pro Forma'!N40)</f>
        <v>155805</v>
      </c>
      <c r="O51" s="197">
        <f>'6. Cost Assumptions'!$D$19*('4. Pro Forma'!O40)</f>
        <v>266382.5</v>
      </c>
      <c r="P51" s="197">
        <f>'6. Cost Assumptions'!$D$19*('4. Pro Forma'!P40+P49)</f>
        <v>273690.70865546877</v>
      </c>
      <c r="Q51" s="197" t="e">
        <f>'6. Cost Assumptions'!$D$19*('4. Pro Forma'!Q40+Q49)</f>
        <v>#REF!</v>
      </c>
      <c r="R51" s="197" t="e">
        <f>'6. Cost Assumptions'!$D$19*('4. Pro Forma'!R40+R49)</f>
        <v>#REF!</v>
      </c>
    </row>
    <row r="52" spans="1:21" s="72" customFormat="1" ht="13.5" x14ac:dyDescent="0.25">
      <c r="A52" s="82"/>
      <c r="B52" s="124"/>
      <c r="C52" s="124"/>
      <c r="D52" s="124"/>
      <c r="E52" s="87"/>
      <c r="F52" s="87"/>
      <c r="G52" s="87"/>
      <c r="H52" s="87"/>
      <c r="I52" s="87"/>
      <c r="J52" s="87"/>
      <c r="K52" s="87"/>
      <c r="L52" s="87"/>
      <c r="M52" s="87"/>
      <c r="N52" s="87"/>
      <c r="O52" s="87"/>
      <c r="P52" s="87"/>
      <c r="Q52" s="87"/>
      <c r="R52" s="87"/>
    </row>
    <row r="53" spans="1:21" s="72" customFormat="1" ht="13.5" x14ac:dyDescent="0.25">
      <c r="A53" s="82"/>
      <c r="B53" s="78" t="s">
        <v>107</v>
      </c>
      <c r="C53" s="78"/>
      <c r="D53" s="185">
        <f>SUM(D32,D40,D49,D51)</f>
        <v>47600097.148831502</v>
      </c>
      <c r="E53" s="185">
        <f>SUM(E32,E40,E49,E51)</f>
        <v>53668770.249034986</v>
      </c>
      <c r="F53" s="185">
        <f t="shared" ref="F53:K53" si="13">SUM(F32,F40,F49,F51)</f>
        <v>58948629.393489338</v>
      </c>
      <c r="G53" s="185">
        <f t="shared" si="13"/>
        <v>74480635.776748091</v>
      </c>
      <c r="H53" s="185">
        <f t="shared" si="13"/>
        <v>58831381.319658749</v>
      </c>
      <c r="I53" s="185">
        <f t="shared" si="13"/>
        <v>73609367.364812821</v>
      </c>
      <c r="J53" s="185">
        <f t="shared" si="13"/>
        <v>4776212.6042940626</v>
      </c>
      <c r="K53" s="185">
        <f t="shared" si="13"/>
        <v>6249593.1106093749</v>
      </c>
      <c r="L53" s="185">
        <f>SUM(L32,L40,L49,L51)</f>
        <v>6310636.0786398435</v>
      </c>
      <c r="M53" s="185">
        <f t="shared" ref="M53:O53" si="14">SUM(M32,M40,M49,M51)</f>
        <v>7845059.5529856253</v>
      </c>
      <c r="N53" s="185">
        <f t="shared" si="14"/>
        <v>4764028.4832562497</v>
      </c>
      <c r="O53" s="185">
        <f t="shared" si="14"/>
        <v>7797317.3629625002</v>
      </c>
      <c r="P53" s="185">
        <f>SUM(P32,P40,P49,P51)</f>
        <v>6343269.8817648441</v>
      </c>
      <c r="Q53" s="185" t="e">
        <f t="shared" ref="Q53:R53" si="15">SUM(Q32,Q40,Q49,Q51)</f>
        <v>#REF!</v>
      </c>
      <c r="R53" s="185" t="e">
        <f t="shared" si="15"/>
        <v>#REF!</v>
      </c>
      <c r="U53" s="208"/>
    </row>
    <row r="54" spans="1:21" s="72" customFormat="1" ht="13.5" x14ac:dyDescent="0.25">
      <c r="A54" s="82"/>
      <c r="B54" s="166"/>
      <c r="C54" s="166"/>
      <c r="D54" s="166"/>
      <c r="E54" s="198"/>
      <c r="F54" s="199"/>
      <c r="G54" s="199"/>
      <c r="H54" s="199"/>
      <c r="I54" s="199"/>
      <c r="J54" s="199"/>
      <c r="K54" s="199"/>
      <c r="M54" s="199"/>
      <c r="N54" s="199"/>
      <c r="O54" s="199"/>
      <c r="P54" s="199"/>
      <c r="Q54" s="199"/>
      <c r="R54" s="199"/>
    </row>
    <row r="55" spans="1:21" s="72" customFormat="1" ht="13.5" x14ac:dyDescent="0.25">
      <c r="A55" s="82"/>
      <c r="B55" s="89" t="s">
        <v>431</v>
      </c>
      <c r="C55" s="89"/>
      <c r="D55" s="336">
        <f t="shared" ref="D55:R55" si="16">D53/D9</f>
        <v>499805.66941779514</v>
      </c>
      <c r="E55" s="336">
        <f t="shared" si="16"/>
        <v>470778.68639504374</v>
      </c>
      <c r="F55" s="336">
        <f t="shared" si="16"/>
        <v>495366.63355873391</v>
      </c>
      <c r="G55" s="336">
        <f t="shared" si="16"/>
        <v>445991.83099849155</v>
      </c>
      <c r="H55" s="336">
        <f t="shared" si="16"/>
        <v>417243.83914651594</v>
      </c>
      <c r="I55" s="485">
        <f t="shared" si="16"/>
        <v>342369.15053401311</v>
      </c>
      <c r="J55" s="336">
        <f t="shared" si="16"/>
        <v>530690.28936600697</v>
      </c>
      <c r="K55" s="336">
        <f t="shared" si="16"/>
        <v>446399.50790066965</v>
      </c>
      <c r="L55" s="336">
        <f t="shared" si="16"/>
        <v>450759.71990284597</v>
      </c>
      <c r="M55" s="336">
        <f t="shared" si="16"/>
        <v>412897.87120976974</v>
      </c>
      <c r="N55" s="336">
        <f t="shared" si="16"/>
        <v>476402.84832562495</v>
      </c>
      <c r="O55" s="336">
        <f t="shared" si="16"/>
        <v>389865.86814812501</v>
      </c>
      <c r="P55" s="336">
        <f t="shared" si="16"/>
        <v>422884.65878432296</v>
      </c>
      <c r="Q55" s="336" t="e">
        <f t="shared" si="16"/>
        <v>#REF!</v>
      </c>
      <c r="R55" s="336" t="e">
        <f t="shared" si="16"/>
        <v>#REF!</v>
      </c>
    </row>
    <row r="56" spans="1:21" s="72" customFormat="1" ht="13.5" x14ac:dyDescent="0.25">
      <c r="A56" s="82"/>
      <c r="B56" s="85"/>
      <c r="C56" s="85"/>
      <c r="D56" s="85"/>
      <c r="E56" s="336"/>
      <c r="F56" s="199"/>
      <c r="G56" s="199"/>
      <c r="H56" s="199"/>
      <c r="I56" s="199"/>
      <c r="J56" s="199"/>
      <c r="K56" s="199"/>
      <c r="M56" s="199"/>
      <c r="N56" s="199"/>
      <c r="O56" s="199"/>
      <c r="P56" s="199"/>
    </row>
    <row r="57" spans="1:21" s="72" customFormat="1" ht="13.5" x14ac:dyDescent="0.25">
      <c r="A57" s="109"/>
      <c r="B57" s="209" t="s">
        <v>119</v>
      </c>
      <c r="C57" s="209"/>
      <c r="D57" s="209"/>
      <c r="E57" s="210"/>
      <c r="F57" s="210"/>
      <c r="G57" s="210"/>
      <c r="H57" s="210"/>
      <c r="I57" s="210"/>
      <c r="J57" s="210"/>
      <c r="K57" s="210"/>
      <c r="L57" s="210"/>
      <c r="M57" s="210"/>
      <c r="N57" s="210"/>
      <c r="O57" s="210"/>
      <c r="P57" s="210"/>
      <c r="Q57" s="210"/>
      <c r="R57" s="210"/>
    </row>
    <row r="58" spans="1:21" s="72" customFormat="1" ht="13.5" hidden="1" x14ac:dyDescent="0.25">
      <c r="A58" s="83"/>
      <c r="B58" s="82" t="s">
        <v>127</v>
      </c>
      <c r="C58" s="82"/>
      <c r="D58" s="82"/>
      <c r="E58" s="200">
        <f>E22</f>
        <v>47888988.564705878</v>
      </c>
      <c r="F58" s="200">
        <f>F22</f>
        <v>49989382.79999999</v>
      </c>
      <c r="G58" s="200">
        <f>G22</f>
        <v>70153167.458823532</v>
      </c>
      <c r="H58" s="200"/>
      <c r="I58" s="200"/>
      <c r="J58" s="200"/>
      <c r="K58" s="200"/>
      <c r="M58" s="200"/>
      <c r="N58" s="200"/>
      <c r="O58" s="200"/>
      <c r="P58" s="200"/>
    </row>
    <row r="59" spans="1:21" s="72" customFormat="1" ht="15.75" hidden="1" x14ac:dyDescent="0.4">
      <c r="A59" s="82"/>
      <c r="B59" s="183" t="s">
        <v>107</v>
      </c>
      <c r="C59" s="183"/>
      <c r="D59" s="183"/>
      <c r="E59" s="201">
        <f>E53</f>
        <v>53668770.249034986</v>
      </c>
      <c r="F59" s="201">
        <f t="shared" ref="F59:G59" si="17">F53</f>
        <v>58948629.393489338</v>
      </c>
      <c r="G59" s="201">
        <f t="shared" si="17"/>
        <v>74480635.776748091</v>
      </c>
      <c r="H59" s="201"/>
      <c r="I59" s="201"/>
      <c r="J59" s="201"/>
      <c r="K59" s="201"/>
      <c r="M59" s="201"/>
      <c r="N59" s="201"/>
      <c r="O59" s="201"/>
      <c r="P59" s="201"/>
    </row>
    <row r="60" spans="1:21" s="72" customFormat="1" ht="13.5" hidden="1" x14ac:dyDescent="0.25">
      <c r="A60" s="82"/>
      <c r="B60" s="82" t="s">
        <v>128</v>
      </c>
      <c r="C60" s="82"/>
      <c r="D60" s="82"/>
      <c r="E60" s="202">
        <f>E58-E59</f>
        <v>-5779781.6843291074</v>
      </c>
      <c r="F60" s="202">
        <f t="shared" ref="F60:G60" si="18">F58-F59</f>
        <v>-8959246.5934893489</v>
      </c>
      <c r="G60" s="202">
        <f t="shared" si="18"/>
        <v>-4327468.3179245591</v>
      </c>
      <c r="H60" s="202"/>
      <c r="I60" s="202"/>
      <c r="J60" s="202"/>
      <c r="K60" s="202"/>
      <c r="M60" s="202"/>
      <c r="N60" s="202"/>
      <c r="O60" s="202"/>
      <c r="P60" s="202"/>
    </row>
    <row r="61" spans="1:21" s="72" customFormat="1" ht="13.5" hidden="1" x14ac:dyDescent="0.25">
      <c r="A61" s="82"/>
      <c r="B61" s="82" t="s">
        <v>129</v>
      </c>
      <c r="C61" s="82"/>
      <c r="D61" s="82"/>
      <c r="E61" s="203">
        <f>E60/E58</f>
        <v>-0.1206912456820773</v>
      </c>
      <c r="F61" s="203">
        <f t="shared" ref="F61:G61" si="19">F60/F58</f>
        <v>-0.17922298879611995</v>
      </c>
      <c r="G61" s="203">
        <f t="shared" si="19"/>
        <v>-6.168600042848487E-2</v>
      </c>
      <c r="H61" s="203"/>
      <c r="I61" s="203"/>
      <c r="J61" s="203"/>
      <c r="K61" s="203"/>
      <c r="M61" s="203"/>
      <c r="N61" s="203"/>
      <c r="O61" s="203"/>
      <c r="P61" s="203"/>
    </row>
    <row r="62" spans="1:21" s="72" customFormat="1" ht="13.5" x14ac:dyDescent="0.25">
      <c r="A62" s="83"/>
      <c r="B62" s="85" t="s">
        <v>103</v>
      </c>
      <c r="C62" s="85"/>
      <c r="D62" s="85"/>
      <c r="E62" s="173"/>
      <c r="F62" s="173"/>
      <c r="G62" s="173"/>
      <c r="H62" s="173"/>
      <c r="I62" s="173"/>
      <c r="J62" s="173"/>
      <c r="K62" s="173"/>
      <c r="M62" s="173"/>
      <c r="N62" s="173"/>
      <c r="O62" s="173"/>
      <c r="P62" s="173"/>
    </row>
    <row r="63" spans="1:21" s="72" customFormat="1" ht="13.5" x14ac:dyDescent="0.25">
      <c r="A63" s="83"/>
      <c r="B63" s="82" t="s">
        <v>436</v>
      </c>
      <c r="C63" s="82"/>
      <c r="D63" s="200">
        <f t="shared" ref="D63:R63" si="20">D21</f>
        <v>1700303.3259348839</v>
      </c>
      <c r="E63" s="200">
        <f t="shared" si="20"/>
        <v>2035282.014</v>
      </c>
      <c r="F63" s="200">
        <f t="shared" si="20"/>
        <v>2124548.7689999999</v>
      </c>
      <c r="G63" s="200">
        <f t="shared" si="20"/>
        <v>2981509.6170000001</v>
      </c>
      <c r="H63" s="200">
        <f t="shared" si="20"/>
        <v>2517322.4909999999</v>
      </c>
      <c r="I63" s="200">
        <f t="shared" si="20"/>
        <v>3838470.4649999999</v>
      </c>
      <c r="J63" s="200">
        <f t="shared" si="20"/>
        <v>160680.15899999999</v>
      </c>
      <c r="K63" s="200">
        <f t="shared" si="20"/>
        <v>249946.91400000002</v>
      </c>
      <c r="L63" s="200">
        <f t="shared" si="20"/>
        <v>249946.91400000002</v>
      </c>
      <c r="M63" s="200">
        <f t="shared" si="20"/>
        <v>339213.66899999999</v>
      </c>
      <c r="N63" s="200">
        <f t="shared" si="20"/>
        <v>178533.51</v>
      </c>
      <c r="O63" s="200">
        <f t="shared" si="20"/>
        <v>357067.02</v>
      </c>
      <c r="P63" s="200">
        <f t="shared" si="20"/>
        <v>267800.26500000001</v>
      </c>
      <c r="Q63" s="200">
        <f t="shared" si="20"/>
        <v>53280</v>
      </c>
      <c r="R63" s="200">
        <f t="shared" si="20"/>
        <v>71040</v>
      </c>
    </row>
    <row r="64" spans="1:21" s="72" customFormat="1" ht="15.75" x14ac:dyDescent="0.4">
      <c r="A64" s="82"/>
      <c r="B64" s="183" t="s">
        <v>107</v>
      </c>
      <c r="C64" s="183"/>
      <c r="D64" s="201">
        <f>D53</f>
        <v>47600097.148831502</v>
      </c>
      <c r="E64" s="201">
        <f>E53</f>
        <v>53668770.249034986</v>
      </c>
      <c r="F64" s="201">
        <f t="shared" ref="F64:K64" si="21">F53</f>
        <v>58948629.393489338</v>
      </c>
      <c r="G64" s="201">
        <f t="shared" si="21"/>
        <v>74480635.776748091</v>
      </c>
      <c r="H64" s="201">
        <f t="shared" si="21"/>
        <v>58831381.319658749</v>
      </c>
      <c r="I64" s="201">
        <f t="shared" si="21"/>
        <v>73609367.364812821</v>
      </c>
      <c r="J64" s="201">
        <f t="shared" si="21"/>
        <v>4776212.6042940626</v>
      </c>
      <c r="K64" s="201">
        <f t="shared" si="21"/>
        <v>6249593.1106093749</v>
      </c>
      <c r="L64" s="201">
        <f>L53</f>
        <v>6310636.0786398435</v>
      </c>
      <c r="M64" s="201">
        <f t="shared" ref="M64:O64" si="22">M53</f>
        <v>7845059.5529856253</v>
      </c>
      <c r="N64" s="201">
        <f t="shared" si="22"/>
        <v>4764028.4832562497</v>
      </c>
      <c r="O64" s="201">
        <f t="shared" si="22"/>
        <v>7797317.3629625002</v>
      </c>
      <c r="P64" s="201">
        <f>P53</f>
        <v>6343269.8817648441</v>
      </c>
      <c r="Q64" s="201" t="e">
        <f t="shared" ref="Q64:R64" si="23">Q53</f>
        <v>#REF!</v>
      </c>
      <c r="R64" s="201" t="e">
        <f t="shared" si="23"/>
        <v>#REF!</v>
      </c>
    </row>
    <row r="65" spans="1:22" s="72" customFormat="1" ht="13.5" x14ac:dyDescent="0.25">
      <c r="A65" s="82"/>
      <c r="B65" s="78" t="s">
        <v>126</v>
      </c>
      <c r="C65" s="78"/>
      <c r="D65" s="420">
        <f t="shared" ref="D65:R65" si="24">D21/D53</f>
        <v>3.5720585204238882E-2</v>
      </c>
      <c r="E65" s="420">
        <f t="shared" si="24"/>
        <v>3.7923023101812108E-2</v>
      </c>
      <c r="F65" s="420">
        <f t="shared" si="24"/>
        <v>3.6040681367133676E-2</v>
      </c>
      <c r="G65" s="420">
        <f t="shared" si="24"/>
        <v>4.0030668185176657E-2</v>
      </c>
      <c r="H65" s="420">
        <f t="shared" si="24"/>
        <v>4.2788770797717549E-2</v>
      </c>
      <c r="I65" s="420">
        <f t="shared" si="24"/>
        <v>5.2146494426127725E-2</v>
      </c>
      <c r="J65" s="419">
        <f t="shared" si="24"/>
        <v>3.3641751804670543E-2</v>
      </c>
      <c r="K65" s="419">
        <f t="shared" si="24"/>
        <v>3.9994109948644101E-2</v>
      </c>
      <c r="L65" s="419">
        <f t="shared" si="24"/>
        <v>3.9607245749127731E-2</v>
      </c>
      <c r="M65" s="419">
        <f t="shared" si="24"/>
        <v>4.3239145185444014E-2</v>
      </c>
      <c r="N65" s="419">
        <f t="shared" si="24"/>
        <v>3.7475323799485559E-2</v>
      </c>
      <c r="O65" s="419">
        <f t="shared" si="24"/>
        <v>4.5793572760816359E-2</v>
      </c>
      <c r="P65" s="419">
        <f t="shared" si="24"/>
        <v>4.2218015312552301E-2</v>
      </c>
      <c r="Q65" s="419" t="e">
        <f t="shared" si="24"/>
        <v>#REF!</v>
      </c>
      <c r="R65" s="419" t="e">
        <f t="shared" si="24"/>
        <v>#REF!</v>
      </c>
      <c r="V65" s="537"/>
    </row>
    <row r="66" spans="1:22" s="72" customFormat="1" ht="13.5" x14ac:dyDescent="0.25">
      <c r="A66" s="82"/>
      <c r="B66" s="85" t="s">
        <v>696</v>
      </c>
      <c r="C66" s="85"/>
      <c r="D66" s="403">
        <v>5.5E-2</v>
      </c>
      <c r="E66" s="403">
        <v>5.5E-2</v>
      </c>
      <c r="F66" s="403">
        <v>5.5E-2</v>
      </c>
      <c r="G66" s="403">
        <v>5.5E-2</v>
      </c>
      <c r="H66" s="403">
        <v>5.5E-2</v>
      </c>
      <c r="I66" s="403">
        <v>5.5E-2</v>
      </c>
      <c r="J66" s="403">
        <v>5.5E-2</v>
      </c>
      <c r="K66" s="403">
        <v>5.5E-2</v>
      </c>
      <c r="L66" s="403">
        <v>5.5E-2</v>
      </c>
      <c r="M66" s="403">
        <v>5.5E-2</v>
      </c>
      <c r="N66" s="403">
        <v>5.5E-2</v>
      </c>
      <c r="O66" s="204"/>
      <c r="P66" s="403">
        <v>5.5E-2</v>
      </c>
      <c r="Q66" s="403">
        <v>5.5E-2</v>
      </c>
      <c r="R66" s="403">
        <v>5.5E-2</v>
      </c>
      <c r="U66" s="208"/>
    </row>
    <row r="67" spans="1:22" s="72" customFormat="1" ht="13.5" x14ac:dyDescent="0.25">
      <c r="A67" s="102"/>
      <c r="B67" s="102"/>
      <c r="C67" s="102"/>
      <c r="D67" s="102"/>
      <c r="E67" s="205"/>
      <c r="F67" s="205"/>
      <c r="G67" s="205"/>
      <c r="H67" s="205"/>
      <c r="I67" s="205"/>
      <c r="J67" s="205"/>
      <c r="K67" s="205"/>
      <c r="L67" s="205"/>
      <c r="M67" s="205"/>
      <c r="N67" s="205"/>
      <c r="O67" s="205"/>
      <c r="P67" s="205"/>
      <c r="Q67" s="205"/>
      <c r="R67" s="205"/>
    </row>
    <row r="68" spans="1:22" s="72" customFormat="1" ht="13.5" x14ac:dyDescent="0.25">
      <c r="A68" s="82"/>
      <c r="B68" s="85" t="s">
        <v>608</v>
      </c>
      <c r="C68" s="85"/>
      <c r="D68" s="85"/>
      <c r="E68" s="498"/>
      <c r="F68" s="498"/>
      <c r="G68" s="498"/>
      <c r="H68" s="498"/>
      <c r="I68" s="499">
        <f>I23-I55</f>
        <v>77709.696524810395</v>
      </c>
      <c r="S68" s="72" t="s">
        <v>634</v>
      </c>
    </row>
    <row r="69" spans="1:22" s="72" customFormat="1" ht="13.5" x14ac:dyDescent="0.25">
      <c r="A69" s="82"/>
      <c r="B69" s="546" t="s">
        <v>656</v>
      </c>
      <c r="I69" s="536">
        <f>((((I53*I66)-I19))-I20)/I10</f>
        <v>1221.1903492134013</v>
      </c>
      <c r="J69" s="484"/>
      <c r="K69" s="484"/>
      <c r="L69" s="484"/>
      <c r="M69" s="484"/>
      <c r="N69" s="484"/>
      <c r="O69" s="484"/>
      <c r="P69" s="484"/>
      <c r="Q69" s="484"/>
      <c r="R69" s="484"/>
    </row>
    <row r="70" spans="1:22" s="72" customFormat="1" ht="13.5" x14ac:dyDescent="0.25">
      <c r="A70" s="102"/>
      <c r="B70" s="102"/>
      <c r="C70" s="102"/>
      <c r="D70" s="102"/>
      <c r="E70" s="205"/>
      <c r="F70" s="205"/>
      <c r="G70" s="205"/>
      <c r="H70" s="205"/>
      <c r="I70" s="205"/>
      <c r="J70" s="484"/>
      <c r="K70" s="484"/>
      <c r="L70" s="484"/>
      <c r="M70" s="484"/>
      <c r="N70" s="484"/>
      <c r="O70" s="484"/>
      <c r="P70" s="484"/>
      <c r="Q70" s="484"/>
      <c r="R70" s="484"/>
    </row>
    <row r="71" spans="1:22" s="72" customFormat="1" ht="13.5" x14ac:dyDescent="0.25">
      <c r="A71" s="82"/>
      <c r="B71" s="72" t="s">
        <v>435</v>
      </c>
      <c r="D71" s="206">
        <f t="shared" ref="D71:R71" si="25">D22-D53</f>
        <v>-7592960.0680107102</v>
      </c>
      <c r="E71" s="206">
        <f t="shared" si="25"/>
        <v>-5779781.6843291074</v>
      </c>
      <c r="F71" s="206">
        <f t="shared" si="25"/>
        <v>-8959246.5934893489</v>
      </c>
      <c r="G71" s="206">
        <f t="shared" si="25"/>
        <v>-4327468.3179245591</v>
      </c>
      <c r="H71" s="206">
        <f t="shared" si="25"/>
        <v>399736.11563536525</v>
      </c>
      <c r="I71" s="206">
        <f t="shared" si="25"/>
        <v>16707584.752834231</v>
      </c>
      <c r="J71" s="206">
        <f t="shared" si="25"/>
        <v>-995502.98076465167</v>
      </c>
      <c r="K71" s="206">
        <f t="shared" si="25"/>
        <v>-368489.2517858455</v>
      </c>
      <c r="L71" s="206">
        <f t="shared" si="25"/>
        <v>-429532.21981631406</v>
      </c>
      <c r="M71" s="206">
        <f t="shared" si="25"/>
        <v>136438.54113202076</v>
      </c>
      <c r="N71" s="206">
        <f t="shared" si="25"/>
        <v>-563240.0126680145</v>
      </c>
      <c r="O71" s="206">
        <f t="shared" si="25"/>
        <v>604259.57821397018</v>
      </c>
      <c r="P71" s="206">
        <f t="shared" si="25"/>
        <v>-42087.175882491283</v>
      </c>
      <c r="Q71" s="206" t="e">
        <f t="shared" si="25"/>
        <v>#REF!</v>
      </c>
      <c r="R71" s="206" t="e">
        <f t="shared" si="25"/>
        <v>#REF!</v>
      </c>
    </row>
    <row r="72" spans="1:22" s="72" customFormat="1" ht="13.5" x14ac:dyDescent="0.25">
      <c r="A72" s="82"/>
      <c r="B72" s="72" t="s">
        <v>434</v>
      </c>
      <c r="D72" s="337">
        <f t="shared" ref="D72:R72" si="26">D71/D53</f>
        <v>-0.15951564225320292</v>
      </c>
      <c r="E72" s="337">
        <f t="shared" si="26"/>
        <v>-0.10769357407500935</v>
      </c>
      <c r="F72" s="337">
        <f t="shared" si="26"/>
        <v>-0.15198396783214888</v>
      </c>
      <c r="G72" s="337">
        <f t="shared" si="26"/>
        <v>-5.8101925054666888E-2</v>
      </c>
      <c r="H72" s="337">
        <f t="shared" si="26"/>
        <v>6.7946070051187425E-3</v>
      </c>
      <c r="I72" s="337">
        <f t="shared" si="26"/>
        <v>0.22697633943829937</v>
      </c>
      <c r="J72" s="337">
        <f t="shared" si="26"/>
        <v>-0.20842936930186962</v>
      </c>
      <c r="K72" s="337">
        <f t="shared" si="26"/>
        <v>-5.8962118855433045E-2</v>
      </c>
      <c r="L72" s="337">
        <f t="shared" si="26"/>
        <v>-6.8064805902877043E-2</v>
      </c>
      <c r="M72" s="337">
        <f t="shared" si="26"/>
        <v>1.7391651422212061E-2</v>
      </c>
      <c r="N72" s="337">
        <f t="shared" si="26"/>
        <v>-0.11822767530622229</v>
      </c>
      <c r="O72" s="337">
        <f t="shared" si="26"/>
        <v>7.7495829666267266E-2</v>
      </c>
      <c r="P72" s="337">
        <f t="shared" si="26"/>
        <v>-6.6349338222988644E-3</v>
      </c>
      <c r="Q72" s="337" t="e">
        <f t="shared" si="26"/>
        <v>#REF!</v>
      </c>
      <c r="R72" s="337" t="e">
        <f t="shared" si="26"/>
        <v>#REF!</v>
      </c>
    </row>
    <row r="73" spans="1:22" s="72" customFormat="1" ht="13.5" x14ac:dyDescent="0.25">
      <c r="A73" s="82"/>
      <c r="E73" s="206"/>
      <c r="F73" s="206"/>
      <c r="G73" s="206"/>
      <c r="H73" s="206"/>
      <c r="I73" s="206"/>
      <c r="J73" s="206"/>
      <c r="K73" s="206"/>
      <c r="M73" s="206"/>
      <c r="N73" s="206"/>
      <c r="O73" s="206"/>
      <c r="P73" s="206"/>
      <c r="Q73" s="206"/>
      <c r="R73" s="206"/>
    </row>
    <row r="74" spans="1:22" s="72" customFormat="1" ht="38.25" x14ac:dyDescent="0.25">
      <c r="A74" s="82"/>
      <c r="D74" s="338" t="str">
        <f>D3</f>
        <v>Prototype 1a 
(45 ft height)</v>
      </c>
      <c r="E74" s="338" t="str">
        <f>E3</f>
        <v>Prototype 1
(Max FAR)</v>
      </c>
      <c r="F74" s="338" t="s">
        <v>514</v>
      </c>
      <c r="G74" s="338" t="s">
        <v>512</v>
      </c>
      <c r="H74" s="339" t="s">
        <v>513</v>
      </c>
      <c r="I74" s="339" t="str">
        <f>I3</f>
        <v>Dynamic Prototype</v>
      </c>
      <c r="J74" s="401" t="str">
        <f>J3</f>
        <v>Prototype 6
(MU, Height 35 feet)</v>
      </c>
      <c r="K74" s="391" t="s">
        <v>454</v>
      </c>
      <c r="L74" s="401" t="str">
        <f>L3</f>
        <v>Prototype 7
(MU, Height 45 feet)</v>
      </c>
      <c r="M74" s="401" t="str">
        <f>M3</f>
        <v>Prototype 8
(MU, Height 55 feet)</v>
      </c>
      <c r="N74" s="392" t="s">
        <v>456</v>
      </c>
      <c r="O74" s="392" t="s">
        <v>458</v>
      </c>
      <c r="P74" s="401" t="str">
        <f>P3</f>
        <v>Prototype 9
(Res only, Height 45 feet)</v>
      </c>
      <c r="Q74" s="463" t="str">
        <f>Q3</f>
        <v>3x3BD, 30 feet</v>
      </c>
      <c r="R74" s="463" t="str">
        <f>R3</f>
        <v>4x2BD, 30 feet</v>
      </c>
    </row>
    <row r="75" spans="1:22" s="72" customFormat="1" ht="13.5" x14ac:dyDescent="0.25">
      <c r="A75" s="82"/>
      <c r="B75" s="72" t="s">
        <v>365</v>
      </c>
      <c r="D75" s="342">
        <f t="shared" ref="D75:R75" si="27">ROUND(D32/D9,-3)</f>
        <v>50000</v>
      </c>
      <c r="E75" s="342">
        <f t="shared" si="27"/>
        <v>42000</v>
      </c>
      <c r="F75" s="342">
        <f t="shared" si="27"/>
        <v>40000</v>
      </c>
      <c r="G75" s="342">
        <f t="shared" si="27"/>
        <v>29000</v>
      </c>
      <c r="H75" s="342">
        <f t="shared" si="27"/>
        <v>34000</v>
      </c>
      <c r="I75" s="342">
        <f t="shared" si="27"/>
        <v>22000</v>
      </c>
      <c r="J75" s="342">
        <f t="shared" si="27"/>
        <v>66000</v>
      </c>
      <c r="K75" s="342">
        <f t="shared" si="27"/>
        <v>43000</v>
      </c>
      <c r="L75" s="342">
        <f t="shared" si="27"/>
        <v>43000</v>
      </c>
      <c r="M75" s="342">
        <f t="shared" si="27"/>
        <v>31000</v>
      </c>
      <c r="N75" s="342">
        <f t="shared" si="27"/>
        <v>60000</v>
      </c>
      <c r="O75" s="342">
        <f t="shared" si="27"/>
        <v>30000</v>
      </c>
      <c r="P75" s="342">
        <f t="shared" si="27"/>
        <v>40000</v>
      </c>
      <c r="Q75" s="342" t="e">
        <f t="shared" si="27"/>
        <v>#REF!</v>
      </c>
      <c r="R75" s="342" t="e">
        <f t="shared" si="27"/>
        <v>#REF!</v>
      </c>
    </row>
    <row r="76" spans="1:22" s="72" customFormat="1" ht="13.5" x14ac:dyDescent="0.25">
      <c r="A76" s="82"/>
      <c r="B76" s="72" t="s">
        <v>0</v>
      </c>
      <c r="D76" s="342">
        <f t="shared" ref="D76:R76" si="28">ROUND(D37/D9,-3)</f>
        <v>36000</v>
      </c>
      <c r="E76" s="342">
        <f t="shared" si="28"/>
        <v>30000</v>
      </c>
      <c r="F76" s="342">
        <f t="shared" si="28"/>
        <v>53000</v>
      </c>
      <c r="G76" s="342">
        <f t="shared" si="28"/>
        <v>38000</v>
      </c>
      <c r="H76" s="342">
        <f t="shared" si="28"/>
        <v>46000</v>
      </c>
      <c r="I76" s="342">
        <f t="shared" si="28"/>
        <v>20000</v>
      </c>
      <c r="J76" s="342">
        <f t="shared" si="28"/>
        <v>46000</v>
      </c>
      <c r="K76" s="342">
        <f t="shared" si="28"/>
        <v>29000</v>
      </c>
      <c r="L76" s="342">
        <f t="shared" si="28"/>
        <v>29000</v>
      </c>
      <c r="M76" s="342">
        <f t="shared" si="28"/>
        <v>22000</v>
      </c>
      <c r="N76" s="342">
        <f t="shared" si="28"/>
        <v>41000</v>
      </c>
      <c r="O76" s="342">
        <f t="shared" si="28"/>
        <v>21000</v>
      </c>
      <c r="P76" s="342">
        <f t="shared" si="28"/>
        <v>27000</v>
      </c>
      <c r="Q76" s="342">
        <f t="shared" si="28"/>
        <v>80000</v>
      </c>
      <c r="R76" s="342">
        <f t="shared" si="28"/>
        <v>80000</v>
      </c>
    </row>
    <row r="77" spans="1:22" s="207" customFormat="1" ht="13.5" x14ac:dyDescent="0.25">
      <c r="A77" s="83"/>
      <c r="B77" s="83" t="s">
        <v>438</v>
      </c>
      <c r="C77" s="83"/>
      <c r="D77" s="342">
        <f t="shared" ref="D77:R77" si="29">ROUND(D36/D9,-3)</f>
        <v>298000</v>
      </c>
      <c r="E77" s="342">
        <f t="shared" si="29"/>
        <v>288000</v>
      </c>
      <c r="F77" s="342">
        <f t="shared" si="29"/>
        <v>287000</v>
      </c>
      <c r="G77" s="342">
        <f t="shared" si="29"/>
        <v>272000</v>
      </c>
      <c r="H77" s="342">
        <f t="shared" si="29"/>
        <v>236000</v>
      </c>
      <c r="I77" s="342">
        <f t="shared" si="29"/>
        <v>211000</v>
      </c>
      <c r="J77" s="342">
        <f t="shared" si="29"/>
        <v>301000</v>
      </c>
      <c r="K77" s="342">
        <f t="shared" si="29"/>
        <v>272000</v>
      </c>
      <c r="L77" s="342">
        <f t="shared" si="29"/>
        <v>272000</v>
      </c>
      <c r="M77" s="342">
        <f t="shared" si="29"/>
        <v>259000</v>
      </c>
      <c r="N77" s="342">
        <f t="shared" si="29"/>
        <v>270000</v>
      </c>
      <c r="O77" s="342">
        <f t="shared" si="29"/>
        <v>246000</v>
      </c>
      <c r="P77" s="342">
        <f t="shared" si="29"/>
        <v>254000</v>
      </c>
      <c r="Q77" s="342">
        <f t="shared" si="29"/>
        <v>496000</v>
      </c>
      <c r="R77" s="342">
        <f t="shared" si="29"/>
        <v>396000</v>
      </c>
    </row>
    <row r="78" spans="1:22" s="72" customFormat="1" ht="13.5" x14ac:dyDescent="0.25">
      <c r="A78" s="83"/>
      <c r="B78" s="82" t="s">
        <v>25</v>
      </c>
      <c r="C78" s="82"/>
      <c r="D78" s="158">
        <f t="shared" ref="D78:R78" si="30">ROUND((D49+D51)/D9,-3)</f>
        <v>115000</v>
      </c>
      <c r="E78" s="158">
        <f t="shared" si="30"/>
        <v>111000</v>
      </c>
      <c r="F78" s="158">
        <f t="shared" si="30"/>
        <v>116000</v>
      </c>
      <c r="G78" s="158">
        <f t="shared" si="30"/>
        <v>108000</v>
      </c>
      <c r="H78" s="158">
        <f t="shared" si="30"/>
        <v>102000</v>
      </c>
      <c r="I78" s="158">
        <f t="shared" si="30"/>
        <v>89000</v>
      </c>
      <c r="J78" s="158">
        <f t="shared" si="30"/>
        <v>118000</v>
      </c>
      <c r="K78" s="158">
        <f t="shared" si="30"/>
        <v>102000</v>
      </c>
      <c r="L78" s="158">
        <f t="shared" si="30"/>
        <v>107000</v>
      </c>
      <c r="M78" s="158">
        <f t="shared" si="30"/>
        <v>101000</v>
      </c>
      <c r="N78" s="158">
        <f t="shared" si="30"/>
        <v>105000</v>
      </c>
      <c r="O78" s="158">
        <f t="shared" si="30"/>
        <v>94000</v>
      </c>
      <c r="P78" s="158">
        <f t="shared" si="30"/>
        <v>102000</v>
      </c>
      <c r="Q78" s="158" t="e">
        <f t="shared" si="30"/>
        <v>#REF!</v>
      </c>
      <c r="R78" s="158" t="e">
        <f t="shared" si="30"/>
        <v>#REF!</v>
      </c>
    </row>
    <row r="79" spans="1:22" s="207" customFormat="1" ht="13.5" x14ac:dyDescent="0.25">
      <c r="A79" s="83"/>
      <c r="B79" s="72" t="s">
        <v>431</v>
      </c>
      <c r="C79" s="72"/>
      <c r="D79" s="158">
        <f>ROUND(SUM(D75:D78),-3)</f>
        <v>499000</v>
      </c>
      <c r="E79" s="158">
        <f>ROUND(SUM(E75:E78),-3)</f>
        <v>471000</v>
      </c>
      <c r="F79" s="158">
        <f t="shared" ref="F79:H79" si="31">SUM(F75:F78)</f>
        <v>496000</v>
      </c>
      <c r="G79" s="158">
        <f t="shared" si="31"/>
        <v>447000</v>
      </c>
      <c r="H79" s="158">
        <f t="shared" si="31"/>
        <v>418000</v>
      </c>
      <c r="I79" s="158">
        <f>SUM(I75:I78)</f>
        <v>342000</v>
      </c>
      <c r="J79" s="158">
        <f t="shared" ref="J79:K79" si="32">SUM(J75:J78)</f>
        <v>531000</v>
      </c>
      <c r="K79" s="158">
        <f t="shared" si="32"/>
        <v>446000</v>
      </c>
      <c r="L79" s="158">
        <f>SUM(L75:L78)</f>
        <v>451000</v>
      </c>
      <c r="M79" s="158">
        <f t="shared" ref="M79:O79" si="33">SUM(M75:M78)</f>
        <v>413000</v>
      </c>
      <c r="N79" s="158">
        <f t="shared" si="33"/>
        <v>476000</v>
      </c>
      <c r="O79" s="158">
        <f t="shared" si="33"/>
        <v>391000</v>
      </c>
      <c r="P79" s="158">
        <f>SUM(P75:P78)</f>
        <v>423000</v>
      </c>
      <c r="Q79" s="158" t="e">
        <f t="shared" ref="Q79:R79" si="34">SUM(Q75:Q78)</f>
        <v>#REF!</v>
      </c>
      <c r="R79" s="158" t="e">
        <f t="shared" si="34"/>
        <v>#REF!</v>
      </c>
    </row>
    <row r="80" spans="1:22" s="207" customFormat="1" ht="13.5" x14ac:dyDescent="0.25">
      <c r="A80" s="83"/>
      <c r="B80" s="343"/>
      <c r="C80" s="343"/>
      <c r="D80" s="343"/>
      <c r="E80" s="344"/>
      <c r="F80" s="344"/>
      <c r="G80" s="344"/>
      <c r="H80" s="344"/>
      <c r="I80" s="344"/>
      <c r="J80" s="344"/>
    </row>
    <row r="81" spans="1:23" s="207" customFormat="1" ht="15.75" x14ac:dyDescent="0.4">
      <c r="A81" s="83"/>
      <c r="B81" s="345"/>
      <c r="C81" s="345"/>
      <c r="D81" s="345"/>
      <c r="E81" s="346"/>
      <c r="F81" s="346"/>
      <c r="G81" s="344"/>
      <c r="H81" s="344"/>
      <c r="I81" s="344"/>
      <c r="J81" s="344"/>
    </row>
    <row r="82" spans="1:23" x14ac:dyDescent="0.25">
      <c r="T82" s="66"/>
      <c r="U82" s="66"/>
      <c r="V82" s="66"/>
      <c r="W82" s="66"/>
    </row>
    <row r="83" spans="1:23" x14ac:dyDescent="0.25">
      <c r="T83" s="66"/>
      <c r="U83" s="408"/>
      <c r="V83" s="66"/>
      <c r="W83" s="66"/>
    </row>
    <row r="84" spans="1:23" x14ac:dyDescent="0.25">
      <c r="T84" s="66"/>
      <c r="U84" s="66"/>
      <c r="V84" s="66"/>
      <c r="W84" s="66"/>
    </row>
    <row r="85" spans="1:23" x14ac:dyDescent="0.25">
      <c r="T85" s="66"/>
      <c r="U85" s="66"/>
      <c r="V85" s="66"/>
      <c r="W85" s="66"/>
    </row>
    <row r="86" spans="1:23" x14ac:dyDescent="0.25">
      <c r="T86" s="66"/>
      <c r="U86" s="66"/>
      <c r="V86" s="66"/>
      <c r="W86" s="66"/>
    </row>
    <row r="87" spans="1:23" x14ac:dyDescent="0.25">
      <c r="T87" s="66"/>
      <c r="U87" s="66"/>
      <c r="V87" s="66"/>
      <c r="W87" s="66"/>
    </row>
    <row r="88" spans="1:23" x14ac:dyDescent="0.25">
      <c r="T88" s="66"/>
      <c r="U88" s="66"/>
      <c r="V88" s="66"/>
      <c r="W88" s="66"/>
    </row>
    <row r="89" spans="1:23" x14ac:dyDescent="0.25">
      <c r="T89" s="66"/>
      <c r="U89" s="66"/>
      <c r="V89" s="66"/>
      <c r="W89" s="66"/>
    </row>
    <row r="90" spans="1:23" x14ac:dyDescent="0.25">
      <c r="T90" s="66"/>
      <c r="U90" s="66"/>
      <c r="V90" s="66"/>
      <c r="W90" s="66"/>
    </row>
    <row r="91" spans="1:23" x14ac:dyDescent="0.25">
      <c r="T91" s="66"/>
      <c r="U91" s="66"/>
      <c r="V91" s="66"/>
      <c r="W91" s="66"/>
    </row>
  </sheetData>
  <sheetProtection algorithmName="SHA-512" hashValue="ov+QlLzbzw5K6pNhsc6Gq/IPFicY7WyFnDQAOeILXwZof3y7Eh7W8YETS9J8sa2bNVbnqr9Y6Nnd7DOnlDyItg==" saltValue="P5OPFPRTPsG+nU3awUzV8Q==" spinCount="100000" sheet="1" objects="1" scenarios="1"/>
  <mergeCells count="4">
    <mergeCell ref="D2:G2"/>
    <mergeCell ref="H2:I2"/>
    <mergeCell ref="J2:P2"/>
    <mergeCell ref="Q2:R2"/>
  </mergeCells>
  <conditionalFormatting sqref="O65:O66 E65:N65 P65:R65">
    <cfRule type="cellIs" dxfId="4" priority="2" operator="greaterThanOrEqual">
      <formula>0.055</formula>
    </cfRule>
  </conditionalFormatting>
  <conditionalFormatting sqref="D65">
    <cfRule type="cellIs" dxfId="3" priority="1" operator="greaterThanOrEqual">
      <formula>0.055</formula>
    </cfRule>
  </conditionalFormatting>
  <pageMargins left="0.7" right="0.7" top="0.75" bottom="0.75" header="0.3" footer="0.3"/>
  <pageSetup scale="8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7"/>
  </sheetPr>
  <dimension ref="A2:G19"/>
  <sheetViews>
    <sheetView workbookViewId="0">
      <selection activeCell="H36" sqref="H36"/>
    </sheetView>
  </sheetViews>
  <sheetFormatPr defaultColWidth="9.140625" defaultRowHeight="13.5" x14ac:dyDescent="0.25"/>
  <cols>
    <col min="1" max="1" width="3.42578125" style="72" customWidth="1"/>
    <col min="2" max="2" width="34.140625" style="72" customWidth="1"/>
    <col min="3" max="3" width="18.5703125" style="72" customWidth="1"/>
    <col min="4" max="4" width="16.5703125" style="72" bestFit="1" customWidth="1"/>
    <col min="5" max="5" width="3.42578125" style="72" customWidth="1"/>
    <col min="6" max="16384" width="9.140625" style="72"/>
  </cols>
  <sheetData>
    <row r="2" spans="1:7" x14ac:dyDescent="0.25">
      <c r="B2" s="159" t="s">
        <v>160</v>
      </c>
    </row>
    <row r="3" spans="1:7" x14ac:dyDescent="0.25">
      <c r="B3" s="105"/>
      <c r="C3" s="105"/>
      <c r="D3" s="469" t="s">
        <v>592</v>
      </c>
    </row>
    <row r="4" spans="1:7" x14ac:dyDescent="0.25">
      <c r="B4" s="168" t="s">
        <v>164</v>
      </c>
      <c r="C4" s="168" t="s">
        <v>591</v>
      </c>
      <c r="D4" s="168">
        <v>400</v>
      </c>
    </row>
    <row r="5" spans="1:7" x14ac:dyDescent="0.25">
      <c r="B5" s="102" t="s">
        <v>166</v>
      </c>
      <c r="C5" s="102" t="s">
        <v>590</v>
      </c>
      <c r="D5" s="102">
        <v>450</v>
      </c>
    </row>
    <row r="8" spans="1:7" x14ac:dyDescent="0.25">
      <c r="B8" s="159" t="s">
        <v>98</v>
      </c>
    </row>
    <row r="9" spans="1:7" x14ac:dyDescent="0.25">
      <c r="A9" s="82"/>
      <c r="B9" s="470" t="s">
        <v>586</v>
      </c>
      <c r="C9" s="105"/>
      <c r="D9" s="471" t="s">
        <v>587</v>
      </c>
      <c r="E9" s="82"/>
      <c r="F9" s="82"/>
      <c r="G9" s="82"/>
    </row>
    <row r="10" spans="1:7" x14ac:dyDescent="0.25">
      <c r="A10" s="82"/>
      <c r="B10" s="102"/>
      <c r="C10" s="102" t="s">
        <v>588</v>
      </c>
      <c r="D10" s="522">
        <f>Tool!$D$18</f>
        <v>0.5</v>
      </c>
      <c r="E10" s="82"/>
      <c r="F10" s="543" t="s">
        <v>657</v>
      </c>
      <c r="G10" s="82"/>
    </row>
    <row r="11" spans="1:7" x14ac:dyDescent="0.25">
      <c r="A11" s="82"/>
      <c r="E11" s="82"/>
      <c r="F11" s="82"/>
      <c r="G11" s="82"/>
    </row>
    <row r="12" spans="1:7" x14ac:dyDescent="0.25">
      <c r="A12" s="82"/>
      <c r="E12" s="82"/>
      <c r="F12" s="82"/>
      <c r="G12" s="82"/>
    </row>
    <row r="13" spans="1:7" x14ac:dyDescent="0.25">
      <c r="A13" s="82"/>
      <c r="B13" s="159" t="s">
        <v>589</v>
      </c>
      <c r="E13" s="82"/>
      <c r="F13" s="82"/>
      <c r="G13" s="82"/>
    </row>
    <row r="14" spans="1:7" x14ac:dyDescent="0.25">
      <c r="A14" s="82"/>
      <c r="B14" s="470"/>
      <c r="C14" s="105"/>
      <c r="D14" s="469" t="s">
        <v>592</v>
      </c>
      <c r="E14" s="82"/>
      <c r="F14" s="82"/>
      <c r="G14" s="82"/>
    </row>
    <row r="15" spans="1:7" x14ac:dyDescent="0.25">
      <c r="B15" s="472"/>
      <c r="C15" s="102" t="s">
        <v>590</v>
      </c>
      <c r="D15" s="526">
        <f>Tool!D19</f>
        <v>0</v>
      </c>
      <c r="F15" s="543" t="s">
        <v>657</v>
      </c>
    </row>
    <row r="18" spans="2:4" x14ac:dyDescent="0.25">
      <c r="B18" s="478" t="s">
        <v>203</v>
      </c>
      <c r="C18" s="102"/>
      <c r="D18" s="102"/>
    </row>
    <row r="19" spans="2:4" x14ac:dyDescent="0.25">
      <c r="C19" s="72" t="s">
        <v>169</v>
      </c>
      <c r="D19" s="337">
        <v>0</v>
      </c>
    </row>
  </sheetData>
  <sheetProtection algorithmName="SHA-512" hashValue="j/ADoZokuUeXjkkEMSg5XIpGeqXugZ8C7rox9YY9lKg2UK8lDM8oGlOoFQByD3jz1vOVAlzV561XzojbmL6CJA==" saltValue="ZUnbN8o9c9rMNp8OB85nQ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4C09B5347AD34AB19C2692AF5F84CE" ma:contentTypeVersion="13" ma:contentTypeDescription="Create a new document." ma:contentTypeScope="" ma:versionID="e1dccd2c698f532ea6adca8a1678a06f">
  <xsd:schema xmlns:xsd="http://www.w3.org/2001/XMLSchema" xmlns:xs="http://www.w3.org/2001/XMLSchema" xmlns:p="http://schemas.microsoft.com/office/2006/metadata/properties" xmlns:ns2="b7e4ab5d-46f5-4726-9422-ad507278eb1a" xmlns:ns3="e627d1f1-5ac4-4666-aa9d-17a0cf812ec1" targetNamespace="http://schemas.microsoft.com/office/2006/metadata/properties" ma:root="true" ma:fieldsID="59134f68b853fb8e7ae3b73ea0c9fa06" ns2:_="" ns3:_="">
    <xsd:import namespace="b7e4ab5d-46f5-4726-9422-ad507278eb1a"/>
    <xsd:import namespace="e627d1f1-5ac4-4666-aa9d-17a0cf812ec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e4ab5d-46f5-4726-9422-ad507278eb1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27d1f1-5ac4-4666-aa9d-17a0cf812ec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328F4E-5AEE-439D-B1AC-AB747EF86884}">
  <ds:schemaRefs>
    <ds:schemaRef ds:uri="http://schemas.microsoft.com/sharepoint/v3/contenttype/forms"/>
  </ds:schemaRefs>
</ds:datastoreItem>
</file>

<file path=customXml/itemProps2.xml><?xml version="1.0" encoding="utf-8"?>
<ds:datastoreItem xmlns:ds="http://schemas.openxmlformats.org/officeDocument/2006/customXml" ds:itemID="{BADB7B51-5563-4C33-BF1A-A0280A62A98C}">
  <ds:schemaRefs>
    <ds:schemaRef ds:uri="http://schemas.microsoft.com/office/infopath/2007/PartnerControls"/>
    <ds:schemaRef ds:uri="http://purl.org/dc/elements/1.1/"/>
    <ds:schemaRef ds:uri="http://schemas.microsoft.com/office/2006/metadata/properties"/>
    <ds:schemaRef ds:uri="http://purl.org/dc/terms/"/>
    <ds:schemaRef ds:uri="e627d1f1-5ac4-4666-aa9d-17a0cf812ec1"/>
    <ds:schemaRef ds:uri="http://schemas.microsoft.com/office/2006/documentManagement/types"/>
    <ds:schemaRef ds:uri="http://schemas.openxmlformats.org/package/2006/metadata/core-properties"/>
    <ds:schemaRef ds:uri="b7e4ab5d-46f5-4726-9422-ad507278eb1a"/>
    <ds:schemaRef ds:uri="http://www.w3.org/XML/1998/namespace"/>
    <ds:schemaRef ds:uri="http://purl.org/dc/dcmitype/"/>
  </ds:schemaRefs>
</ds:datastoreItem>
</file>

<file path=customXml/itemProps3.xml><?xml version="1.0" encoding="utf-8"?>
<ds:datastoreItem xmlns:ds="http://schemas.openxmlformats.org/officeDocument/2006/customXml" ds:itemID="{D1014F84-4CAD-4A7C-9380-B8BFB6CB9E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e4ab5d-46f5-4726-9422-ad507278eb1a"/>
    <ds:schemaRef ds:uri="e627d1f1-5ac4-4666-aa9d-17a0cf812e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vt:lpstr>
      <vt:lpstr>Tool</vt:lpstr>
      <vt:lpstr>Key Inputs</vt:lpstr>
      <vt:lpstr>'4. Pro Forma'!Print_Area</vt:lpstr>
      <vt:lpstr>'Pro Forma'!Print_Area</vt:lpstr>
      <vt:lpstr>'Pro Forma UG Parking'!Print_Area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Heard</dc:creator>
  <cp:lastModifiedBy>Sarah Neuse</cp:lastModifiedBy>
  <cp:lastPrinted>2018-12-21T23:27:25Z</cp:lastPrinted>
  <dcterms:created xsi:type="dcterms:W3CDTF">2016-12-02T00:42:16Z</dcterms:created>
  <dcterms:modified xsi:type="dcterms:W3CDTF">2021-11-05T19:19:55Z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0x010100EE4C09B5347AD34AB19C2692AF5F84CE</vt:lpwstr>
  </property>
</Properties>
</file>